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c.pons\Documents\Perso\Docs\Système Aspect\"/>
    </mc:Choice>
  </mc:AlternateContent>
  <xr:revisionPtr revIDLastSave="0" documentId="13_ncr:1_{612AB697-DFCF-4785-BC47-E8110288E3B6}" xr6:coauthVersionLast="47" xr6:coauthVersionMax="47" xr10:uidLastSave="{00000000-0000-0000-0000-000000000000}"/>
  <bookViews>
    <workbookView xWindow="-28920" yWindow="-120" windowWidth="29040" windowHeight="15840" activeTab="2" xr2:uid="{200AB9DF-C0C3-4752-B0BD-0EF65030082E}"/>
  </bookViews>
  <sheets>
    <sheet name="Récap" sheetId="3" r:id="rId1"/>
    <sheet name="Aspects" sheetId="1" r:id="rId2"/>
    <sheet name="Sorts" sheetId="4" r:id="rId3"/>
    <sheet name="Feuil2" sheetId="2" state="hidden" r:id="rId4"/>
  </sheets>
  <definedNames>
    <definedName name="WCHARAC">Récap!$M$8</definedName>
    <definedName name="WMENTAL">Récap!$M$6</definedName>
    <definedName name="WPHYSIC">Récap!$M$4</definedName>
  </definedNames>
  <calcPr calcId="191029" refMode="R1C1"/>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3" l="1"/>
  <c r="R26" i="3"/>
  <c r="R25" i="3"/>
  <c r="R24" i="3"/>
  <c r="R23" i="3"/>
  <c r="R22" i="3"/>
  <c r="R21" i="3"/>
  <c r="R3" i="3"/>
  <c r="R4" i="3"/>
  <c r="R5" i="3"/>
  <c r="R7" i="3"/>
  <c r="R8" i="3"/>
  <c r="R9" i="3"/>
  <c r="R11" i="3"/>
  <c r="R12" i="3"/>
  <c r="R13" i="3"/>
  <c r="R14" i="3"/>
  <c r="R15" i="3"/>
  <c r="R16" i="3"/>
  <c r="R17" i="3"/>
  <c r="R18" i="3"/>
  <c r="R19" i="3"/>
  <c r="N4" i="1"/>
  <c r="N5" i="1"/>
  <c r="N6" i="1"/>
  <c r="N7" i="1"/>
  <c r="N8" i="1"/>
  <c r="N9" i="1"/>
  <c r="N10" i="1"/>
  <c r="N11" i="1"/>
  <c r="N12" i="1"/>
  <c r="N13" i="1"/>
  <c r="N14" i="1"/>
  <c r="N15" i="1"/>
  <c r="N34" i="1"/>
  <c r="N16" i="1"/>
  <c r="N17" i="1"/>
  <c r="N18" i="1"/>
  <c r="N19" i="1"/>
  <c r="N20" i="1"/>
  <c r="N21" i="1"/>
  <c r="N22" i="1"/>
  <c r="N23" i="1"/>
  <c r="N24" i="1"/>
  <c r="N25" i="1"/>
  <c r="N26" i="1"/>
  <c r="N27" i="1"/>
  <c r="N28" i="1"/>
  <c r="N29" i="1"/>
  <c r="N30" i="1"/>
  <c r="N31" i="1"/>
  <c r="N32" i="1"/>
  <c r="N33" i="1"/>
  <c r="N35" i="1"/>
  <c r="N36" i="1"/>
  <c r="N37" i="1"/>
  <c r="N3" i="1"/>
  <c r="N2" i="1"/>
  <c r="H29" i="1"/>
  <c r="H28" i="1"/>
  <c r="H17" i="1"/>
  <c r="H13" i="1"/>
  <c r="H36" i="1"/>
  <c r="L14" i="1"/>
  <c r="U14" i="1" s="1"/>
  <c r="H35" i="1"/>
  <c r="L20" i="1"/>
  <c r="U20" i="1" s="1"/>
  <c r="H18" i="1"/>
  <c r="H8" i="1"/>
  <c r="H22" i="1"/>
  <c r="H4" i="1"/>
  <c r="E17" i="1"/>
  <c r="E9" i="1"/>
  <c r="E32" i="1"/>
  <c r="E36" i="1"/>
  <c r="E23" i="1"/>
  <c r="E14" i="1"/>
  <c r="L35" i="1"/>
  <c r="U35" i="1" s="1"/>
  <c r="E20" i="1"/>
  <c r="E18" i="1"/>
  <c r="E22" i="1"/>
  <c r="E4" i="1"/>
  <c r="H14" i="1"/>
  <c r="H12" i="1"/>
  <c r="H33" i="1"/>
  <c r="H27" i="1"/>
  <c r="L31" i="1"/>
  <c r="U31" i="1" s="1"/>
  <c r="H32" i="1"/>
  <c r="L15" i="1"/>
  <c r="U15" i="1" s="1"/>
  <c r="L25" i="1"/>
  <c r="U25" i="1" s="1"/>
  <c r="H5" i="1"/>
  <c r="L11" i="1"/>
  <c r="U11" i="1" s="1"/>
  <c r="L23" i="1"/>
  <c r="U23" i="1" s="1"/>
  <c r="E34" i="1"/>
  <c r="E33" i="1"/>
  <c r="L10" i="1"/>
  <c r="U10" i="1" s="1"/>
  <c r="E21" i="1"/>
  <c r="E28" i="1"/>
  <c r="L37" i="1"/>
  <c r="U37" i="1" s="1"/>
  <c r="B9" i="1"/>
  <c r="B36" i="1"/>
  <c r="L19" i="1"/>
  <c r="U19" i="1" s="1"/>
  <c r="B8" i="1"/>
  <c r="B22" i="1"/>
  <c r="L24" i="1"/>
  <c r="U24" i="1" s="1"/>
  <c r="S2" i="1"/>
  <c r="S28" i="1"/>
  <c r="S6" i="1"/>
  <c r="S29" i="1"/>
  <c r="S16" i="1"/>
  <c r="S11" i="1"/>
  <c r="S36" i="1"/>
  <c r="S9" i="1"/>
  <c r="S13" i="1"/>
  <c r="S27" i="1"/>
  <c r="S30" i="1"/>
  <c r="S32" i="1"/>
  <c r="S5" i="1"/>
  <c r="S26" i="1"/>
  <c r="S17" i="1"/>
  <c r="S25" i="1"/>
  <c r="S21" i="1"/>
  <c r="S19" i="1"/>
  <c r="S31" i="1"/>
  <c r="S15" i="1"/>
  <c r="S10" i="1"/>
  <c r="S8" i="1"/>
  <c r="S22" i="1"/>
  <c r="S35" i="1"/>
  <c r="S20" i="1"/>
  <c r="S14" i="1"/>
  <c r="S23" i="1"/>
  <c r="S24" i="1"/>
  <c r="S37" i="1"/>
  <c r="S33" i="1"/>
  <c r="S18" i="1"/>
  <c r="S12" i="1"/>
  <c r="S4" i="1"/>
  <c r="S7" i="1"/>
  <c r="S3" i="1"/>
  <c r="L2" i="1"/>
  <c r="U2" i="1" s="1"/>
  <c r="L30" i="1"/>
  <c r="U30" i="1" s="1"/>
  <c r="L26" i="1"/>
  <c r="U26" i="1" s="1"/>
  <c r="L6" i="1"/>
  <c r="U6" i="1" s="1"/>
  <c r="L17" i="1"/>
  <c r="U17" i="1" s="1"/>
  <c r="L16" i="1"/>
  <c r="U16" i="1" s="1"/>
  <c r="L21" i="1"/>
  <c r="U21" i="1" s="1"/>
  <c r="L12" i="1"/>
  <c r="U12" i="1" s="1"/>
  <c r="L7" i="1"/>
  <c r="U7" i="1" s="1"/>
  <c r="L3" i="1"/>
  <c r="U3" i="1" s="1"/>
  <c r="B28" i="1"/>
  <c r="K28" i="1"/>
  <c r="Q28" i="1"/>
  <c r="R28" i="1"/>
  <c r="B29" i="1"/>
  <c r="K29" i="1"/>
  <c r="Q29" i="1"/>
  <c r="R29" i="1"/>
  <c r="E19" i="1"/>
  <c r="H19" i="1"/>
  <c r="K19" i="1"/>
  <c r="Q19" i="1"/>
  <c r="R19" i="1"/>
  <c r="B26" i="1"/>
  <c r="E26" i="1"/>
  <c r="H26" i="1"/>
  <c r="K26" i="1"/>
  <c r="Q26" i="1"/>
  <c r="R26" i="1"/>
  <c r="B27" i="1"/>
  <c r="K27" i="1"/>
  <c r="Q27" i="1"/>
  <c r="R27" i="1"/>
  <c r="B30" i="1"/>
  <c r="E30" i="1"/>
  <c r="H30" i="1"/>
  <c r="K30" i="1"/>
  <c r="Q30" i="1"/>
  <c r="R30" i="1"/>
  <c r="B31" i="1"/>
  <c r="E31" i="1"/>
  <c r="H31" i="1"/>
  <c r="K31" i="1"/>
  <c r="Q31" i="1"/>
  <c r="R31" i="1"/>
  <c r="B3" i="1"/>
  <c r="E3" i="1"/>
  <c r="H3" i="1"/>
  <c r="K3" i="1"/>
  <c r="Q3" i="1"/>
  <c r="R3" i="1"/>
  <c r="K4" i="1"/>
  <c r="Q4" i="1"/>
  <c r="R4" i="1"/>
  <c r="B7" i="1"/>
  <c r="E7" i="1"/>
  <c r="H7" i="1"/>
  <c r="K7" i="1"/>
  <c r="Q7" i="1"/>
  <c r="R7" i="1"/>
  <c r="E24" i="1"/>
  <c r="H24" i="1"/>
  <c r="K24" i="1"/>
  <c r="Q24" i="1"/>
  <c r="R24" i="1"/>
  <c r="B37" i="1"/>
  <c r="E37" i="1"/>
  <c r="H37" i="1"/>
  <c r="K37" i="1"/>
  <c r="Q37" i="1"/>
  <c r="R37" i="1"/>
  <c r="B6" i="1"/>
  <c r="E6" i="1"/>
  <c r="H6" i="1"/>
  <c r="K6" i="1"/>
  <c r="Q6" i="1"/>
  <c r="R6" i="1"/>
  <c r="B16" i="1"/>
  <c r="E16" i="1"/>
  <c r="H16" i="1"/>
  <c r="K16" i="1"/>
  <c r="Q16" i="1"/>
  <c r="R16" i="1"/>
  <c r="B13" i="1"/>
  <c r="E13" i="1"/>
  <c r="K13" i="1"/>
  <c r="Q13" i="1"/>
  <c r="R13" i="1"/>
  <c r="K32" i="1"/>
  <c r="Q32" i="1"/>
  <c r="R32" i="1"/>
  <c r="K36" i="1"/>
  <c r="Q36" i="1"/>
  <c r="R36" i="1"/>
  <c r="E8" i="1"/>
  <c r="K8" i="1"/>
  <c r="Q8" i="1"/>
  <c r="R8" i="1"/>
  <c r="K18" i="1"/>
  <c r="Q18" i="1"/>
  <c r="R18" i="1"/>
  <c r="B20" i="1"/>
  <c r="H20" i="1"/>
  <c r="K20" i="1"/>
  <c r="Q20" i="1"/>
  <c r="R20" i="1"/>
  <c r="K22" i="1"/>
  <c r="Q22" i="1"/>
  <c r="R22" i="1"/>
  <c r="B14" i="1"/>
  <c r="K14" i="1"/>
  <c r="Q14" i="1"/>
  <c r="R14" i="1"/>
  <c r="B33" i="1"/>
  <c r="K33" i="1"/>
  <c r="Q33" i="1"/>
  <c r="R33" i="1"/>
  <c r="B34" i="1"/>
  <c r="H34" i="1"/>
  <c r="K34" i="1"/>
  <c r="Q34" i="1"/>
  <c r="R34" i="1"/>
  <c r="B12" i="1"/>
  <c r="E12" i="1"/>
  <c r="K12" i="1"/>
  <c r="Q12" i="1"/>
  <c r="R12" i="1"/>
  <c r="B23" i="1"/>
  <c r="H23" i="1"/>
  <c r="K23" i="1"/>
  <c r="Q23" i="1"/>
  <c r="R23" i="1"/>
  <c r="B35" i="1"/>
  <c r="E35" i="1"/>
  <c r="K35" i="1"/>
  <c r="Q35" i="1"/>
  <c r="R35" i="1"/>
  <c r="B2" i="1"/>
  <c r="E2" i="1"/>
  <c r="H2" i="1"/>
  <c r="K2" i="1"/>
  <c r="Q2" i="1"/>
  <c r="R2" i="1"/>
  <c r="B11" i="1"/>
  <c r="E11" i="1"/>
  <c r="H11" i="1"/>
  <c r="K11" i="1"/>
  <c r="Q11" i="1"/>
  <c r="R11" i="1"/>
  <c r="B5" i="1"/>
  <c r="K5" i="1"/>
  <c r="Q5" i="1"/>
  <c r="R5" i="1"/>
  <c r="B10" i="1"/>
  <c r="E10" i="1"/>
  <c r="H10" i="1"/>
  <c r="K10" i="1"/>
  <c r="Q10" i="1"/>
  <c r="R10" i="1"/>
  <c r="H9" i="1"/>
  <c r="K9" i="1"/>
  <c r="Q9" i="1"/>
  <c r="R9" i="1"/>
  <c r="B15" i="1"/>
  <c r="E15" i="1"/>
  <c r="H15" i="1"/>
  <c r="K15" i="1"/>
  <c r="Q15" i="1"/>
  <c r="R15" i="1"/>
  <c r="B17" i="1"/>
  <c r="K17" i="1"/>
  <c r="Q17" i="1"/>
  <c r="R17" i="1"/>
  <c r="B21" i="1"/>
  <c r="H21" i="1"/>
  <c r="K21" i="1"/>
  <c r="Q21" i="1"/>
  <c r="R21" i="1"/>
  <c r="B25" i="1"/>
  <c r="E25" i="1"/>
  <c r="H25" i="1"/>
  <c r="K25" i="1"/>
  <c r="Q25" i="1"/>
  <c r="R25" i="1"/>
  <c r="D13" i="3"/>
  <c r="D14" i="3"/>
  <c r="D15" i="3"/>
  <c r="D16" i="3"/>
  <c r="D17" i="3"/>
  <c r="D18" i="3"/>
  <c r="D19" i="3"/>
  <c r="S23" i="3" l="1"/>
  <c r="S22" i="3"/>
  <c r="S24" i="3"/>
  <c r="S25" i="3"/>
  <c r="S26" i="3"/>
  <c r="S27" i="3"/>
  <c r="S21" i="3"/>
  <c r="S9" i="3"/>
  <c r="S3" i="3"/>
  <c r="S8" i="3"/>
  <c r="S7" i="3"/>
  <c r="S5" i="3"/>
  <c r="S4" i="3"/>
  <c r="S19" i="3"/>
  <c r="S11" i="3"/>
  <c r="S12" i="3"/>
  <c r="S13" i="3"/>
  <c r="S14" i="3"/>
  <c r="S15" i="3"/>
  <c r="S16" i="3"/>
  <c r="S17" i="3"/>
  <c r="S18" i="3"/>
  <c r="T28" i="1"/>
  <c r="T13" i="1"/>
  <c r="T31" i="1"/>
  <c r="L18" i="1"/>
  <c r="U18" i="1" s="1"/>
  <c r="L34" i="1"/>
  <c r="U34" i="1" s="1"/>
  <c r="L4" i="1"/>
  <c r="U4" i="1" s="1"/>
  <c r="L29" i="1"/>
  <c r="U29" i="1" s="1"/>
  <c r="L27" i="1"/>
  <c r="U27" i="1" s="1"/>
  <c r="L5" i="1"/>
  <c r="U5" i="1" s="1"/>
  <c r="E27" i="1"/>
  <c r="E29" i="1"/>
  <c r="E5" i="1"/>
  <c r="L33" i="1"/>
  <c r="U33" i="1" s="1"/>
  <c r="L28" i="1"/>
  <c r="U28" i="1" s="1"/>
  <c r="L13" i="1"/>
  <c r="U13" i="1" s="1"/>
  <c r="L32" i="1"/>
  <c r="U32" i="1" s="1"/>
  <c r="L9" i="1"/>
  <c r="U9" i="1" s="1"/>
  <c r="B18" i="1"/>
  <c r="B19" i="1"/>
  <c r="L36" i="1"/>
  <c r="U36" i="1" s="1"/>
  <c r="B24" i="1"/>
  <c r="B4" i="1"/>
  <c r="B32" i="1"/>
  <c r="L22" i="1"/>
  <c r="U22" i="1" s="1"/>
  <c r="L8" i="1"/>
  <c r="U8" i="1" s="1"/>
  <c r="M26" i="1"/>
  <c r="V26" i="1" s="1"/>
  <c r="M21" i="1"/>
  <c r="V21" i="1" s="1"/>
  <c r="M23" i="1"/>
  <c r="V23" i="1" s="1"/>
  <c r="M17" i="1"/>
  <c r="V17" i="1" s="1"/>
  <c r="M25" i="1"/>
  <c r="V25" i="1" s="1"/>
  <c r="M6" i="1"/>
  <c r="V6" i="1" s="1"/>
  <c r="M2" i="1"/>
  <c r="V2" i="1" s="1"/>
  <c r="T20" i="1"/>
  <c r="T37" i="1"/>
  <c r="T5" i="1"/>
  <c r="T14" i="1"/>
  <c r="T16" i="1"/>
  <c r="T30" i="1"/>
  <c r="T3" i="1"/>
  <c r="T7" i="1"/>
  <c r="T29" i="1"/>
  <c r="T10" i="1"/>
  <c r="T15" i="1"/>
  <c r="M12" i="1"/>
  <c r="V12" i="1" s="1"/>
  <c r="T4" i="1"/>
  <c r="T35" i="1"/>
  <c r="T24" i="1"/>
  <c r="T25" i="1"/>
  <c r="T17" i="1"/>
  <c r="T26" i="1"/>
  <c r="T12" i="1"/>
  <c r="T18" i="1"/>
  <c r="T36" i="1"/>
  <c r="T33" i="1"/>
  <c r="T6" i="1"/>
  <c r="M19" i="1"/>
  <c r="V19" i="1" s="1"/>
  <c r="T23" i="1"/>
  <c r="T2" i="1"/>
  <c r="T9" i="1"/>
  <c r="T34" i="1"/>
  <c r="T32" i="1"/>
  <c r="T11" i="1"/>
  <c r="T22" i="1"/>
  <c r="T8" i="1"/>
  <c r="T19" i="1"/>
  <c r="T21" i="1"/>
  <c r="T27" i="1"/>
  <c r="M37" i="1"/>
  <c r="V37" i="1" s="1"/>
  <c r="M24" i="1"/>
  <c r="V24" i="1" s="1"/>
  <c r="M14" i="1"/>
  <c r="V14" i="1" s="1"/>
  <c r="M20" i="1"/>
  <c r="V20" i="1" s="1"/>
  <c r="M10" i="1"/>
  <c r="V10" i="1" s="1"/>
  <c r="M35" i="1"/>
  <c r="V35" i="1" s="1"/>
  <c r="M3" i="1"/>
  <c r="V3" i="1" s="1"/>
  <c r="M7" i="1"/>
  <c r="V7" i="1" s="1"/>
  <c r="M11" i="1"/>
  <c r="V11" i="1" s="1"/>
  <c r="M15" i="1"/>
  <c r="V15" i="1" s="1"/>
  <c r="M31" i="1"/>
  <c r="V31" i="1" s="1"/>
  <c r="M16" i="1"/>
  <c r="V16" i="1" s="1"/>
  <c r="M30" i="1"/>
  <c r="V30" i="1" s="1"/>
  <c r="E19" i="3"/>
  <c r="E16" i="3"/>
  <c r="E18" i="3"/>
  <c r="D3" i="3"/>
  <c r="E17" i="3"/>
  <c r="E15" i="3"/>
  <c r="E14" i="3"/>
  <c r="E13" i="3"/>
  <c r="D9" i="3"/>
  <c r="D8" i="3"/>
  <c r="D5" i="3"/>
  <c r="D10" i="3"/>
  <c r="D4" i="3"/>
  <c r="M8" i="1" l="1"/>
  <c r="V8" i="1" s="1"/>
  <c r="M5" i="1"/>
  <c r="V5" i="1" s="1"/>
  <c r="M34" i="1"/>
  <c r="V34" i="1" s="1"/>
  <c r="M4" i="1"/>
  <c r="V4" i="1" s="1"/>
  <c r="M18" i="1"/>
  <c r="V18" i="1" s="1"/>
  <c r="M29" i="1"/>
  <c r="V29" i="1" s="1"/>
  <c r="M27" i="1"/>
  <c r="V27" i="1" s="1"/>
  <c r="M28" i="1"/>
  <c r="V28" i="1" s="1"/>
  <c r="M33" i="1"/>
  <c r="V33" i="1" s="1"/>
  <c r="M32" i="1"/>
  <c r="V32" i="1" s="1"/>
  <c r="M9" i="1"/>
  <c r="V9" i="1" s="1"/>
  <c r="M13" i="1"/>
  <c r="V13" i="1" s="1"/>
  <c r="M22" i="1"/>
  <c r="V22" i="1" s="1"/>
  <c r="M36" i="1"/>
  <c r="V36" i="1" s="1"/>
  <c r="E10" i="3"/>
  <c r="E5" i="3"/>
  <c r="E4" i="3"/>
  <c r="E8" i="3"/>
  <c r="E9" i="3"/>
  <c r="E3" i="3"/>
</calcChain>
</file>

<file path=xl/sharedStrings.xml><?xml version="1.0" encoding="utf-8"?>
<sst xmlns="http://schemas.openxmlformats.org/spreadsheetml/2006/main" count="1170" uniqueCount="334">
  <si>
    <t>Neutre mauvais</t>
  </si>
  <si>
    <t>Bonté</t>
  </si>
  <si>
    <t>Loyauté</t>
  </si>
  <si>
    <t>Alignement</t>
  </si>
  <si>
    <t>Chaotique neutre</t>
  </si>
  <si>
    <t>Neutre</t>
  </si>
  <si>
    <t>Chaotique bon</t>
  </si>
  <si>
    <t>Neutre bon</t>
  </si>
  <si>
    <t>Chaotique mauvais</t>
  </si>
  <si>
    <t>Loyal neutre</t>
  </si>
  <si>
    <t>Loyal bon</t>
  </si>
  <si>
    <t>Loyal mauvais</t>
  </si>
  <si>
    <t>Loyal</t>
  </si>
  <si>
    <t>Chaotique</t>
  </si>
  <si>
    <t>Mauvais</t>
  </si>
  <si>
    <t>Bon</t>
  </si>
  <si>
    <t>Nyelis</t>
  </si>
  <si>
    <t>Hashura</t>
  </si>
  <si>
    <t>Akkatom</t>
  </si>
  <si>
    <t>Othompa</t>
  </si>
  <si>
    <t>Thymeïr</t>
  </si>
  <si>
    <t>Kuelid</t>
  </si>
  <si>
    <t>Goldreg</t>
  </si>
  <si>
    <t>Kronian</t>
  </si>
  <si>
    <t>Anseilid</t>
  </si>
  <si>
    <t>Brukaur</t>
  </si>
  <si>
    <t>Digride</t>
  </si>
  <si>
    <t>Phy max</t>
  </si>
  <si>
    <t>Men min</t>
  </si>
  <si>
    <t>Men max</t>
  </si>
  <si>
    <t>Cha min</t>
  </si>
  <si>
    <t>Cha max</t>
  </si>
  <si>
    <t>Aspect</t>
  </si>
  <si>
    <t>Physique</t>
  </si>
  <si>
    <t>Mental</t>
  </si>
  <si>
    <t>Charactère</t>
  </si>
  <si>
    <t>Magie</t>
  </si>
  <si>
    <t>Force</t>
  </si>
  <si>
    <t>Dextérité</t>
  </si>
  <si>
    <t>Résilience</t>
  </si>
  <si>
    <t>Intelligence</t>
  </si>
  <si>
    <t>Curiosité</t>
  </si>
  <si>
    <t>Éloquence</t>
  </si>
  <si>
    <t>Psyché</t>
  </si>
  <si>
    <t>Shelfine</t>
  </si>
  <si>
    <t>Zeniom</t>
  </si>
  <si>
    <t>Miador</t>
  </si>
  <si>
    <t>Asnol</t>
  </si>
  <si>
    <t>Shlahog</t>
  </si>
  <si>
    <t>Onimee</t>
  </si>
  <si>
    <t>Promolide</t>
  </si>
  <si>
    <t>Calderan</t>
  </si>
  <si>
    <t>Nigiak</t>
  </si>
  <si>
    <t>Franeline</t>
  </si>
  <si>
    <t>Lonidae</t>
  </si>
  <si>
    <t>Vadeaxil</t>
  </si>
  <si>
    <t>Urdi'rik</t>
  </si>
  <si>
    <t>Beth'oit</t>
  </si>
  <si>
    <t>Arsinam</t>
  </si>
  <si>
    <t>Mul'dekar</t>
  </si>
  <si>
    <t>Yinkovn</t>
  </si>
  <si>
    <t>Zaliax</t>
  </si>
  <si>
    <t>Incabat</t>
  </si>
  <si>
    <t>Qua'faltar</t>
  </si>
  <si>
    <t>Phy min</t>
  </si>
  <si>
    <t>Min stats</t>
  </si>
  <si>
    <t>Drinbuur</t>
  </si>
  <si>
    <t>Max stats</t>
  </si>
  <si>
    <t>Range stats</t>
  </si>
  <si>
    <t>Nombre</t>
  </si>
  <si>
    <t>Étiquettes</t>
  </si>
  <si>
    <t>Range</t>
  </si>
  <si>
    <t>Min</t>
  </si>
  <si>
    <t>Max</t>
  </si>
  <si>
    <t>Commentaire</t>
  </si>
  <si>
    <t>Stat améliorée</t>
  </si>
  <si>
    <t>Exception, pas de magie malgré le mental min à 8</t>
  </si>
  <si>
    <t>Difficulté</t>
  </si>
  <si>
    <t>Dao Tua</t>
  </si>
  <si>
    <t>Rudnar</t>
  </si>
  <si>
    <t>Kaha Bii</t>
  </si>
  <si>
    <t>Poids physique</t>
  </si>
  <si>
    <t>Poids mental</t>
  </si>
  <si>
    <t>Poids de caractère</t>
  </si>
  <si>
    <t>Vernil</t>
  </si>
  <si>
    <t>Sort</t>
  </si>
  <si>
    <t>Type</t>
  </si>
  <si>
    <t>Element</t>
  </si>
  <si>
    <t>Rang</t>
  </si>
  <si>
    <t>&gt;Faites un jet d'attaque avec la [[1. Entrainement#La dextérité|dextérité]]. Tire un faisceau de flamme, infligeant 2d8 dégâts de feu en touchant.</t>
  </si>
  <si>
    <t>&gt;Chauffe à blanc une arme ou un projectile. Jusqu'au début de votre prochain tour, les coups portés avec l'objet infligent 1d6 dégâts supplémentaire. Les dégâts de l'arme deviennent des dégâts de feu.</t>
  </si>
  <si>
    <t>&gt;Lance un projectile de feu éclatant sur 3 cases de rayon. Chaque personne dans le rayon doit réussir un [[3. Résistance aux chocs#Le jet de résistance|jet de résistance]](d10/6 + mod. d'[[1. Entrainement#L'intelligence|intelligence]]) ou subit 2d8 dégâts de feu.</t>
  </si>
  <si>
    <t>&gt;Pendant 5 tours, toute personne terminant son tour à une case de vous subit 1d10 dégâts de feu.</t>
  </si>
  <si>
    <t>&gt; Grave une marque discrète sur un objet, restant durant 3 jours ou jusqu'à ce que quelqu'un rentre en contact avec la marque, auquel cas cette dernière lui sera gravée avec une désagréable sensation de brulure. La brulure disparait après 3 jours.</t>
  </si>
  <si>
    <t>&gt;Faites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t>
  </si>
  <si>
    <t>&gt;Faites un jet d'attaque avec la [[1. Entrainement#Dextérité|dextérité]]. Frappe une cible visible puis rebondit sur jusqu'à 2 autres cibles. Inflige 1d8[[2. Glossaire#Jet explosif|!]] dégâts de foudre.</t>
  </si>
  <si>
    <t>&gt;Se téléporte à 6 cases tant que vous pouvez voir et courir vers la destination.</t>
  </si>
  <si>
    <t>&gt;Faites un jet d'attaque avec la [[1. Entrainement#La dextérité|dextérité]]. Tire une décharge foudroyante d'énergie, infligeant 4d4[[2. Glossaire#Jet explosif|!]] dégâts de foudre.</t>
  </si>
  <si>
    <t>&gt;Faites un jet d'attaque avec la [[1. Entrainement#La dextérité|dextérité]]. Un pilier de matière est extirpé du sol pour aller frapper la cible, qui est alors déplacée d'une case. Si la cible est propulsée contre un mur, elle subit alors 3d12 dégâts contondant.</t>
  </si>
  <si>
    <t>&gt;Durant 1 minute, vous gagnez un bonus de 2 au blocage, mais subissez également un malus de 2 à l'esquive et perdez 2 cases de vitesse de course.</t>
  </si>
  <si>
    <t>&gt; Vous gagnez une résistance aux dégâts physiques jusqu'au début de votre prochain tour.</t>
  </si>
  <si>
    <t>&gt; Condense de l'énergie magique dans une arme ou un projectile sur vous. Vous faites une attaque immédiatement après avoir lancé ce sort sans dépenser d'action, infligeant 1d8 dégâts supplémentaire. Les dégâts de l'arme deviennent magique.</t>
  </si>
  <si>
    <t>&gt;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t>
  </si>
  <si>
    <t>&gt;La vitesse de course de votre cible augmente de 2 cases pendant 1 minute. Elle gagne également un bonus de +1 à l'esquive.</t>
  </si>
  <si>
    <t>&gt;Crée une imposante colonne d'air descendent de 3 cases de rayon sur 12 cases de haut à 18 cases de vous. Les créatures à l'intérieur ont un malus de 1 à l'esquive. Les créatures volantes chutent de 3 cases par tour. Dure 5 tours.</t>
  </si>
  <si>
    <t xml:space="preserve">&gt;Réduit le poids d'un objet à un dixième de son poids d'origine pendant 1 minute. Fonctionne sur des objets inertes allant jusqu'à 500kg. </t>
  </si>
  <si>
    <t>&gt;Permet à jusqu'à 5 herbes ou préparations médicinales de se conserver 1 jour de plus. *Ne peux être utilisé qu'une seule fois par herbe/préparation.*</t>
  </si>
  <si>
    <t>&gt; Vous récupérez un point de fatigue temporaire de la cible que vous touchez.</t>
  </si>
  <si>
    <t xml:space="preserve">&gt; Absorbe la lumière d'une zone de 4 cases de rayon, la faisant apparaitre comme plus sombre durant 1 minute. </t>
  </si>
  <si>
    <t>&gt; Si vous êtes dans une zone de noir total, vous pouvez vous téléporter dans n'importe quelle autre zone de noir total à 9 cases.</t>
  </si>
  <si>
    <t>&gt;Envenime l'esprit de la cible, brouillant sa perception de la réalité et lui faisant voir des images subliminales de chaos. La cible fait un [[3. Résistance aux chocs#Le jet de résistance|jet de résistance]] (d8/4 + mod. de psyché) à la [[2. Liste des effets#Apeuré|peur]].</t>
  </si>
  <si>
    <t>Precision</t>
  </si>
  <si>
    <t>Feu</t>
  </si>
  <si>
    <t>action</t>
  </si>
  <si>
    <t>Incantation</t>
  </si>
  <si>
    <t>Coût</t>
  </si>
  <si>
    <t>Trait de feu</t>
  </si>
  <si>
    <t>Echauffement</t>
  </si>
  <si>
    <t>Savoir</t>
  </si>
  <si>
    <t>Projection bouillonnante</t>
  </si>
  <si>
    <t>Corps ardent</t>
  </si>
  <si>
    <t>Concentration</t>
  </si>
  <si>
    <t>Gravure marquante</t>
  </si>
  <si>
    <t>10 minutes</t>
  </si>
  <si>
    <t>Protection supérieure</t>
  </si>
  <si>
    <t>Lames de glace</t>
  </si>
  <si>
    <t>TODO</t>
  </si>
  <si>
    <t>Instinct</t>
  </si>
  <si>
    <t>reaction</t>
  </si>
  <si>
    <t>Glace</t>
  </si>
  <si>
    <t>Foudre</t>
  </si>
  <si>
    <t>Terre</t>
  </si>
  <si>
    <t>Arcane</t>
  </si>
  <si>
    <t>Air</t>
  </si>
  <si>
    <t>Lumière</t>
  </si>
  <si>
    <t>Nature</t>
  </si>
  <si>
    <t>Psy</t>
  </si>
  <si>
    <t>Chaine de foudre</t>
  </si>
  <si>
    <t>Vitesse lumière</t>
  </si>
  <si>
    <t>Décharge de foudre</t>
  </si>
  <si>
    <t>Bouclier tortue</t>
  </si>
  <si>
    <t>Enchantement mineur</t>
  </si>
  <si>
    <t>Rupture de force</t>
  </si>
  <si>
    <t>Foulée aérienne</t>
  </si>
  <si>
    <t>Pression forcée</t>
  </si>
  <si>
    <t>Poids plume</t>
  </si>
  <si>
    <t>Dégats</t>
  </si>
  <si>
    <t>Categorie</t>
  </si>
  <si>
    <t>Utilitaire</t>
  </si>
  <si>
    <t>Buff</t>
  </si>
  <si>
    <t>Tank</t>
  </si>
  <si>
    <t>Mouvement</t>
  </si>
  <si>
    <t>Debuff</t>
  </si>
  <si>
    <t>Conservation</t>
  </si>
  <si>
    <t>1 minute</t>
  </si>
  <si>
    <t>Support</t>
  </si>
  <si>
    <t>Absorption radieuse</t>
  </si>
  <si>
    <t>Orbe de lumière</t>
  </si>
  <si>
    <t>Pas des ombres</t>
  </si>
  <si>
    <t>Description</t>
  </si>
  <si>
    <t>&gt;Faites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t>
  </si>
  <si>
    <t>&gt; Fait apparaitre une boule de lumière immatérielle illuminant d'une lumière visible à 12 cases. Peut être bougée de 6 cases avec une action libre.</t>
  </si>
  <si>
    <t>Boule de feu</t>
  </si>
  <si>
    <t>&gt;Une lame de glace vient grandir le long d'une arme que vous touchez. Augmente la portée de l'arme d'une case. L'extension inflige des dégâts tranchants. Dure 1 min, casse après 8 coups **réussis**.</t>
  </si>
  <si>
    <t>Lance de givre</t>
  </si>
  <si>
    <t>Cône de givre</t>
  </si>
  <si>
    <t>&gt;Se téléporte à un point visible à 9 cases max.</t>
  </si>
  <si>
    <t>Téléportation</t>
  </si>
  <si>
    <t>Foudroiement</t>
  </si>
  <si>
    <t>&gt; Durant 1 minute, vos [[4. Équipement#Les armes naturelles|armes naturelles]] se recouvrent de roches, infligeant des dégâts supplémentaires égal à votre mod. d'intelligence. A chaque coup porté (réussi comme raté), les dégâts décroient d'un point jusqu'à arrivée à 0.</t>
  </si>
  <si>
    <t>&gt;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t>
  </si>
  <si>
    <t>&gt; Condense de l'énergie magique dans toutes les arme ou projectiles sur vous. Vous faites une attaque immédiatement après avoir lancé ce sort sans dépenser d'action, avec chaque arme infligeant 1d8 dégâts supplémentaire. Les dégâts de l'arme deviennent magique.</t>
  </si>
  <si>
    <t>&gt; Condense de l'énergie magique dans une arme sur vous *jusqu'à la fin de votre prochain tour*. Vous faites une attaque immédiatement après avoir lancé ce sort sans dépenser d'action, infligeant 1d8 dégâts supplémentaire. Les dégâts de l'arme deviennent magique.</t>
  </si>
  <si>
    <t>&gt;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t>
  </si>
  <si>
    <t>&gt; Vous bénissez temporairement un arc avec la magie des vents pour les 3 prochaines attaques. Les flèches tirée par cet arc ont une vélocité accrue, les portée sont doublée et vous avez un bonus de +2 pour toucher à moyenne distance.</t>
  </si>
  <si>
    <t>&gt;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t>
  </si>
  <si>
    <t>&gt; Vous gagnez pendant 1 minute une vision dans le noir à 12 cases.</t>
  </si>
  <si>
    <t xml:space="preserve">&gt;*Ne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t>
  </si>
  <si>
    <t>&gt;Vous pouvez perturber les flux magiques d'un lanceur de sort que vous voyez à 9 cases pour lui imposer un malus de 3 à son lancer de sort en cours.</t>
  </si>
  <si>
    <t>Enchantement tenace</t>
  </si>
  <si>
    <t>Enchantement dense</t>
  </si>
  <si>
    <t>&gt; Votre cible doit faire un [[3. Résistance aux chocs#Le jet de résistance|jet de résistance]] (d4/3 + mod. d'[[1. Entrainement#L'intelligence|intelligence]]) à l'[[2. Liste des effets#Influencé|influence]]. En cas d'échec, elle perds 2d4[[2. Glossaire#Jet explosif|!]] mana.</t>
  </si>
  <si>
    <t>Apaisement</t>
  </si>
  <si>
    <t>Painshock</t>
  </si>
  <si>
    <t>Perturbateur</t>
  </si>
  <si>
    <t>&gt;Fait apparaitre une tornade de braises ardente de 2 cases de rayon. Chaque tour, vous pouvez la faire bouger de 2 cases pour 1 point d'action. Toute personne commençant son tour dans la tornade subit 2d8 dégâts de feu.</t>
  </si>
  <si>
    <t>&gt;Fait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t>
  </si>
  <si>
    <t>&gt;Faites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t>
  </si>
  <si>
    <t>&gt; Place une anomalie visuelle à 3 cases émettant une [[6. Visibilité et lumière#Lumière intense|lumière vive]] à 9 cases. Lorsqu'un être vivant rentre en contact avec l'anomalie, il absorbe toute l'énergie magique et subit 4d8 points de dégâts magique</t>
  </si>
  <si>
    <t>Tourbillon de braise</t>
  </si>
  <si>
    <t>Engourdissement</t>
  </si>
  <si>
    <t>Orbe de chaos</t>
  </si>
  <si>
    <t>Rejet pur</t>
  </si>
  <si>
    <t>Disruption</t>
  </si>
  <si>
    <t>Anomalie immaculée</t>
  </si>
  <si>
    <t>&gt;La cible doit faire un [[3. Résistance aux chocs#Le jet de résistance|jet de résistance]] (d10/6 + mod. de [[1. Entrainement#La psyché|psyché]]) aux [[1. Magie#Les sorts instinctif|sorts d'instinct]], divisant sa vitesse par 2 et lui imposant un malus de 3 pour attaquer avec des armes en cas d'échec.</t>
  </si>
  <si>
    <t>Rang 1</t>
  </si>
  <si>
    <t>Rang 2</t>
  </si>
  <si>
    <t>Rang 3</t>
  </si>
  <si>
    <t>Précision</t>
  </si>
  <si>
    <t>Total général</t>
  </si>
  <si>
    <t>Nombre de Rang</t>
  </si>
  <si>
    <t>Protection suprême</t>
  </si>
  <si>
    <t>&gt;Vous vous entourez d'une imposante carapace de roche réactive qui absorbe les chocs. Vous gagnez une armure temporaire de 25PV (-5PV) pendant 2 tours. Subir un coup critique détruit l'armure mais annule l'effet critique.</t>
  </si>
  <si>
    <t>&gt;En touchant la cible, guérit l'influence, le charme et la peur, mais inflige un malus de -1 aux jets de résistance de défense pour ces effets durant 3 tours.</t>
  </si>
  <si>
    <t>&gt;Vous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t>
  </si>
  <si>
    <t>Distance</t>
  </si>
  <si>
    <t>12 cases</t>
  </si>
  <si>
    <t>3 cases</t>
  </si>
  <si>
    <t>9 cases</t>
  </si>
  <si>
    <t>Personnel</t>
  </si>
  <si>
    <t>6 cases</t>
  </si>
  <si>
    <t>18 cases</t>
  </si>
  <si>
    <t>Toucher</t>
  </si>
  <si>
    <t>&gt;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t>
  </si>
  <si>
    <t>&gt;Lance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t>
  </si>
  <si>
    <t>&gt;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t>
  </si>
  <si>
    <t>&gt;Votre cible doit faire un [[3. Résistance aux chocs#Le jet de résistance|jet de résistance]] (d8/5 + mod. d'[[1. Entrainement#L'intelligence|intelligence]]) aux [[1. Magie#Les sorts de savoir|sorts de savoir]]. En cas d'échec, elle subit un point de [[3. Fatigue et repos#Fatigue temporaire|fatigue temporaire]].</t>
  </si>
  <si>
    <t>&gt; Vous récupérez un point de [[3. Fatigue et repos#Fatigue persistante|fatigue persistante]] de votre cible.</t>
  </si>
  <si>
    <t>Piège de cristal</t>
  </si>
  <si>
    <t>&gt;Vous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t>
  </si>
  <si>
    <t>&gt;Vous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t>
  </si>
  <si>
    <t>Essence magique</t>
  </si>
  <si>
    <t>Vision arcanique</t>
  </si>
  <si>
    <t xml:space="preserve">&gt;Vous êtes capable d'identifier toutes les composantes d'un sort, d'un enchantement ou d'un objet magique. </t>
  </si>
  <si>
    <t xml:space="preserve">&gt;Pendant 10 minutes, vous pouvez percevoir toute trace de magie sous forme de tache bleutée laissant une faible persistance sur votre rétine. </t>
  </si>
  <si>
    <t>&gt;Vous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t>
  </si>
  <si>
    <t>Rafistolage</t>
  </si>
  <si>
    <t>&gt;Lorsque vous êtes visé par une attaque, vous créez une couche de glace autour de votre armure, lui permettant de subir l'intégralité des dégâts sur le coup.</t>
  </si>
  <si>
    <t>&gt;Faites un jet d'attaque avec la [[1. Entrainement#La psyché|psyché]]. Vous imposez un jet de concentration à une cible que vous voyez. La difficulté est de 4d6+4.</t>
  </si>
  <si>
    <t>&gt;Fait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t>
  </si>
  <si>
    <t>Tempête de givre</t>
  </si>
  <si>
    <t>Armure frigorifique</t>
  </si>
  <si>
    <t>&gt;Crée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t>
  </si>
  <si>
    <t>&gt;Génère un champ de foudre statique autour de vous pendant 1 minute. Toute personne qui cours à 2 cases de vous reçoit un choc électrique de 1d6[[2. Glossaire#Jet explosif|!]] dégâts de [[4. Les types de dégâts#Foudre|foudre]].</t>
  </si>
  <si>
    <t>&gt;Vous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t>
  </si>
  <si>
    <t>Télékinésie</t>
  </si>
  <si>
    <t>TODO: Illusion majeure #idee</t>
  </si>
  <si>
    <t>TODO: Illusion modérée #idee</t>
  </si>
  <si>
    <t>TODO: Illusion mineure #idee</t>
  </si>
  <si>
    <t>(vide)</t>
  </si>
  <si>
    <t>&gt;Lorsque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t>
  </si>
  <si>
    <t>Embrasement réflexe</t>
  </si>
  <si>
    <t>&gt;Vous repoussez un projectile physique ou magique de rang 1 qui passe à 3 cases de vous vers l'attaquant d'origine.</t>
  </si>
  <si>
    <t>Mutisme</t>
  </si>
  <si>
    <t>&gt;Place une zone de puissance electrisante de 2 cases de rayon pendant un tour. Toute personne qui se déplace dans cette zone prends 1d4! dégâts de foudre par case parcouru.</t>
  </si>
  <si>
    <t>Epuisement répété</t>
  </si>
  <si>
    <t>&gt;Faites un jet d'attaque avec la [[1. Entrainement#La psyché|psyché]]. Vous infligez 1d6 point de dégâts [[4. Les types de dégâts#Neutre|magique]] par [[3. Fatigue et repos#La fatigue|point de fatigue]] de la cible.</t>
  </si>
  <si>
    <t>&gt;Crée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t>
  </si>
  <si>
    <t>Foudroiement energetique</t>
  </si>
  <si>
    <t>&gt;Vous et votre cible permutez de place. Si votre cible n'est pas consentante, elle peut réussir un [[3. Résistance aux chocs#Le jet de résistance|jet de résistance]] (d10/6 + mod. de [[1. Entrainement#La psyché|psyché]]) de [[1. Entrainement#La psyché|psyché]] pour ne pas être permuter.</t>
  </si>
  <si>
    <t>&gt;Durant 1 minute, la cible touchée gagne un point d'action. Cependant, elle subit 2d4[[2. Glossaire#Jet explosif|!]] dégâts de [[4. Les types de dégâts#Foudre|foudre]] en le dépensant.</t>
  </si>
  <si>
    <t>&gt;Vous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t>
  </si>
  <si>
    <t>&gt;Vous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t>
  </si>
  <si>
    <t>&gt;Vous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t>
  </si>
  <si>
    <t>&gt;Jusqu'à la fin de votre prochain tour, vous imposez un [[2. Glossaire#Avantage et désavantage|désavantage]] à toute personne qui essaye de vous [[2. Actions en combat#Contraindre|contraindre]].</t>
  </si>
  <si>
    <t>&gt;Vous offrez une [[4. Les types de dégâts#Résistances et vulnérabilités|résistance]] au [[4. Les types de dégâts#Feu|feu]] ainsi qu'une armure de 20 PV (-5 PV) à votre cible. Votre cible voit sa vitesse de course réduite de 2 cases.</t>
  </si>
  <si>
    <t>Magie volée</t>
  </si>
  <si>
    <t>&gt;Durant 3 tours, chaque fois que vous êtes explicitement cibler par un sort (hors effet de zone), vous gagnez un nombre de mana égal à la moitié du mana dépensé.</t>
  </si>
  <si>
    <t>&gt; Vous vous [[1. Aspect#Transformations|transformez]] immédiatement sans avoir à faire de jet. Après 5 tours, vous reprenez forme humaine et ne pouvez plus vous transformez pendant 5 tours.</t>
  </si>
  <si>
    <t>&gt;Désignez une zone de 2 cases de rayon. Toutes personne dans la zone doit réussir un jet de résistance (d10/6 + mod. de psyché) de constitution ou devient sourd pendant 2 tours.</t>
  </si>
  <si>
    <t>&gt;Désignez une zone de 2 cases de rayon. Toutes personne dans la zone doit réussir un jet de résistance (d6/4 + mod. de psyché) de constitution ou subit un malus de -3 en compréhension et en représentation.</t>
  </si>
  <si>
    <t>Glisse gracieuse</t>
  </si>
  <si>
    <t>Menace statique</t>
  </si>
  <si>
    <t>Vrombissement assourdissant</t>
  </si>
  <si>
    <t>Pilier de force</t>
  </si>
  <si>
    <t>Choc de roche</t>
  </si>
  <si>
    <t>Peau de pierre</t>
  </si>
  <si>
    <t>Insaisissable</t>
  </si>
  <si>
    <t>Echange d'énergie</t>
  </si>
  <si>
    <t>Corrosion</t>
  </si>
  <si>
    <t>Appel de la nature</t>
  </si>
  <si>
    <t>Visions de terreur</t>
  </si>
  <si>
    <t>Manteau de flamme</t>
  </si>
  <si>
    <t>Gel encombrant</t>
  </si>
  <si>
    <t>Choc auditif</t>
  </si>
  <si>
    <t>Aura statique</t>
  </si>
  <si>
    <t>Lame de roc</t>
  </si>
  <si>
    <t>Torgnole rocailleuse</t>
  </si>
  <si>
    <t>Faiblesse d'éther</t>
  </si>
  <si>
    <t>Partage d'esprit</t>
  </si>
  <si>
    <t>Air chaotique</t>
  </si>
  <si>
    <t>Bénédiction des vents</t>
  </si>
  <si>
    <t>Pression descendante</t>
  </si>
  <si>
    <t>Bourrasque opposante</t>
  </si>
  <si>
    <t>Epuisement spontané</t>
  </si>
  <si>
    <t>Echange d'énergie supérieur</t>
  </si>
  <si>
    <t>Vision dans le noir</t>
  </si>
  <si>
    <t>Permutation</t>
  </si>
  <si>
    <t>Erection de matière</t>
  </si>
  <si>
    <t>Densité tranchante</t>
  </si>
  <si>
    <t>Redirection</t>
  </si>
  <si>
    <t>&gt;Vous créez un lien éphémère avec une cible consentante. Jusqu'à la fin de votre prochain tour, si l'un de vous deux subit des dégâts, l'autre peut dépenser une réaction pour subir la moitié à sa place.</t>
  </si>
  <si>
    <t>&gt;Votre corps émet une lumière douce à 6 cases. Les alliés dans cette lumière ont un bonus de +1 aux jets de résistance de peur et de charme. Vous pouvez éteindre ou rallumer cette lumière avec une action libre.</t>
  </si>
  <si>
    <t>Lanterne de salvation</t>
  </si>
  <si>
    <t>canalisation</t>
  </si>
  <si>
    <t>&gt;A la fin de la canalisation, vous pouvez frapper avec une arme naturelle tout ennemi **au sol** à 6 cases de vous comme si vous êtiez au corps à corps, en faisant jaillir des piliers de roche.</t>
  </si>
  <si>
    <t>&gt;Vous octroyez une vitesse de vol de 6 cases.</t>
  </si>
  <si>
    <t>Lumière mortelle</t>
  </si>
  <si>
    <t>&gt;A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t>
  </si>
  <si>
    <t>Lame etherée</t>
  </si>
  <si>
    <t>&gt;Vous invoquez une arme etherée reprenant la forme d'une arme non magique que vous voulez durant 5 tours. Cette dernière inflige les dégâts de l'arme choisie plus un dé de dégâts supplémentaire. Vous pouvez changer la forme de l'arme avec une action libre.</t>
  </si>
  <si>
    <t>Cataclysme solaire</t>
  </si>
  <si>
    <t>&gt;Chaque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t>
  </si>
  <si>
    <t>&gt;A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t>
  </si>
  <si>
    <t>Permutation d'energie</t>
  </si>
  <si>
    <t>&gt;Tant que vous canalisez, chaque sort lancé à 12 cases voit son coût augmenté de 2 mana, que vous récupérez.</t>
  </si>
  <si>
    <t>&gt;Vous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t>
  </si>
  <si>
    <t>&gt;Vous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t>
  </si>
  <si>
    <t>Frappe sismique</t>
  </si>
  <si>
    <t>Surcharge statique</t>
  </si>
  <si>
    <t>Ancrage protecteur</t>
  </si>
  <si>
    <t>&gt;Vous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t>
  </si>
  <si>
    <t>&gt;A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t>
  </si>
  <si>
    <t>Amalgame d'arcane</t>
  </si>
  <si>
    <t>&gt;Choisissez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t>
  </si>
  <si>
    <t>Pureté aveuglante</t>
  </si>
  <si>
    <t>Sappage d'éther</t>
  </si>
  <si>
    <t>Inexistance</t>
  </si>
  <si>
    <t>Influence brumeuse</t>
  </si>
  <si>
    <t>&gt;A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t>
  </si>
  <si>
    <t>Deconnexion mentale</t>
  </si>
  <si>
    <t>&gt;Vous accumulez une charge éléctrique croissante. A la fin de la canalisation, vous gagnez un point de réaction utilisable pour lancer des sorts, et vos attaques de foudre ont avantage aux dégâts durant 1 minute.</t>
  </si>
  <si>
    <t>&gt;Tant que vous canalisez et que vous depensez du mana pour canaliser, une arme à portée inflige 1 dé de dégats supplémentaire, les dés deviennent explosifs et infligent des dégâts de foudre.</t>
  </si>
  <si>
    <t>Mur tempétueux</t>
  </si>
  <si>
    <t>&gt;A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t>
  </si>
  <si>
    <t>&gt;A la fin de la canalisation, vous parvenez à extraire votre Aspect de votre propre esprit pour le manifester sans vous transformer durant 1 minute. Vous prenez sa fiche de stat de créature et le jouez. Cependant, vous ne pouvez plus utiliser de magie jusqu'à sa disparition.</t>
  </si>
  <si>
    <t>&gt;Vous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t>
  </si>
  <si>
    <t>Detection de psyché</t>
  </si>
  <si>
    <t>&gt;Vous êtes capable de detecter toute forme d'intelligence à 18 cases. Vous pouvez determiner le nombre et pour chacun s'il dispose d'un Aspect, mais vous ne pouvez pas determiner leur position.</t>
  </si>
  <si>
    <t>&gt;Vous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t>
  </si>
  <si>
    <t>&gt;Vous entrez dans un état de plénitude mentale. A la fin de la canalisation, vous gagnez un bonus de +2 à l'intelligence et à la psyché durant 5 tours. Subir des dégâts met fin prématurement à cet effet.</t>
  </si>
  <si>
    <t>Méditation tranchante</t>
  </si>
  <si>
    <t>&gt;Faites un jet d'attaque avec la [[1. Entrainement#La dextérité|dextérité]]. Inflige 3d8 dégâts magique à l'armure de la cible.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</si>
</sst>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1"/>
      <color theme="1"/>
      <name val="Calibri"/>
      <family val="2"/>
      <scheme val="minor"/>
    </font>
    <font>
      <sz val="11"/>
      <color theme="1"/>
      <name val="Calibri"/>
      <family val="2"/>
      <scheme val="minor"/>
    </font>
    <font>
      <sz val="8"/>
      <name val="Calibri"/>
      <family val="2"/>
      <scheme val="minor"/>
    </font>
    <font>
      <b/>
      <sz val="11"/>
      <color theme="1"/>
      <name val="Microsoft YaHei"/>
      <family val="2"/>
    </font>
  </fonts>
  <fills count="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s>
  <borders count="2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49" fontId="0" fillId="0" borderId="0" xfId="0" applyNumberFormat="1"/>
    <xf numFmtId="1" fontId="0" fillId="0" borderId="0" xfId="0" applyNumberFormat="1"/>
    <xf numFmtId="0" fontId="0" fillId="0" borderId="3" xfId="0" applyBorder="1"/>
    <xf numFmtId="0" fontId="0" fillId="0" borderId="5" xfId="0" applyBorder="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0" xfId="0" applyAlignment="1">
      <alignment horizontal="right"/>
    </xf>
    <xf numFmtId="0" fontId="0" fillId="2" borderId="0" xfId="0" applyFill="1"/>
    <xf numFmtId="0" fontId="0" fillId="3" borderId="0" xfId="0" applyFill="1"/>
    <xf numFmtId="0" fontId="0" fillId="0" borderId="0" xfId="0" applyAlignment="1">
      <alignment horizontal="center"/>
    </xf>
    <xf numFmtId="1" fontId="0" fillId="0" borderId="0" xfId="0" applyNumberFormat="1" applyAlignment="1">
      <alignment horizontal="center"/>
    </xf>
    <xf numFmtId="1" fontId="0" fillId="2"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7" xfId="0" applyBorder="1"/>
    <xf numFmtId="0" fontId="0" fillId="0" borderId="0" xfId="0" applyAlignment="1">
      <alignment horizontal="left"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164" fontId="0" fillId="0" borderId="2" xfId="1" applyNumberFormat="1" applyFont="1" applyBorder="1" applyAlignment="1">
      <alignment horizontal="center"/>
    </xf>
    <xf numFmtId="164" fontId="0" fillId="0" borderId="4" xfId="1" applyNumberFormat="1" applyFont="1" applyBorder="1" applyAlignment="1">
      <alignment horizontal="center"/>
    </xf>
    <xf numFmtId="164" fontId="0" fillId="0" borderId="6" xfId="1" applyNumberFormat="1" applyFont="1" applyBorder="1" applyAlignment="1">
      <alignment horizontal="center"/>
    </xf>
    <xf numFmtId="164" fontId="0" fillId="0" borderId="21" xfId="1" applyNumberFormat="1" applyFont="1" applyBorder="1" applyAlignment="1">
      <alignment horizontal="center"/>
    </xf>
    <xf numFmtId="164" fontId="0" fillId="0" borderId="22" xfId="1" applyNumberFormat="1" applyFont="1" applyBorder="1" applyAlignment="1">
      <alignment horizontal="center"/>
    </xf>
    <xf numFmtId="164" fontId="0" fillId="0" borderId="23" xfId="1" applyNumberFormat="1" applyFont="1" applyBorder="1" applyAlignment="1">
      <alignment horizontal="center"/>
    </xf>
    <xf numFmtId="0" fontId="0" fillId="0" borderId="7" xfId="0" pivotButton="1" applyBorder="1"/>
    <xf numFmtId="0" fontId="0" fillId="0" borderId="24" xfId="0" applyBorder="1"/>
    <xf numFmtId="0" fontId="0" fillId="0" borderId="25" xfId="0" applyBorder="1"/>
    <xf numFmtId="0" fontId="0" fillId="0" borderId="26" xfId="0" applyBorder="1"/>
    <xf numFmtId="0" fontId="0" fillId="0" borderId="9" xfId="0" applyBorder="1" applyAlignment="1">
      <alignment horizontal="center"/>
    </xf>
    <xf numFmtId="0" fontId="0" fillId="0" borderId="7" xfId="0" pivotButton="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16" xfId="0" applyBorder="1" applyAlignment="1">
      <alignment horizontal="left" indent="1"/>
    </xf>
    <xf numFmtId="0" fontId="0" fillId="0" borderId="28" xfId="0" applyBorder="1" applyAlignment="1">
      <alignment horizontal="left" indent="1"/>
    </xf>
    <xf numFmtId="0" fontId="3" fillId="0" borderId="0" xfId="0" applyFont="1" applyAlignment="1">
      <alignment horizontal="center"/>
    </xf>
    <xf numFmtId="0" fontId="0" fillId="0" borderId="24" xfId="0" pivotButton="1" applyBorder="1"/>
    <xf numFmtId="0" fontId="0" fillId="0" borderId="7" xfId="0" applyBorder="1" applyAlignment="1">
      <alignment horizontal="left"/>
    </xf>
    <xf numFmtId="0" fontId="0" fillId="0" borderId="27" xfId="0" applyBorder="1" applyAlignment="1">
      <alignment horizontal="left" indent="1"/>
    </xf>
    <xf numFmtId="0" fontId="0" fillId="0" borderId="25" xfId="0" applyBorder="1" applyAlignment="1">
      <alignment horizontal="center"/>
    </xf>
    <xf numFmtId="0" fontId="0" fillId="0" borderId="7" xfId="0" applyBorder="1" applyAlignment="1">
      <alignment horizont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left" indent="1"/>
    </xf>
    <xf numFmtId="0" fontId="0" fillId="0" borderId="7" xfId="0" applyBorder="1" applyAlignment="1">
      <alignment horizontal="left" indent="1"/>
    </xf>
  </cellXfs>
  <cellStyles count="2">
    <cellStyle name="Normal" xfId="0" builtinId="0"/>
    <cellStyle name="Pourcentage" xfId="1" builtinId="5"/>
  </cellStyles>
  <dxfs count="83">
    <dxf>
      <fill>
        <patternFill>
          <bgColor theme="5" tint="0.59996337778862885"/>
        </patternFill>
      </fill>
    </dxf>
    <dxf>
      <fill>
        <patternFill>
          <bgColor theme="4" tint="0.59996337778862885"/>
        </patternFill>
      </fill>
    </dxf>
    <dxf>
      <fill>
        <patternFill>
          <bgColor rgb="FFA365D1"/>
        </patternFill>
      </fill>
    </dxf>
    <dxf>
      <font>
        <color theme="0"/>
      </font>
      <fill>
        <patternFill>
          <bgColor theme="7" tint="-0.499984740745262"/>
        </patternFill>
      </fill>
    </dxf>
    <dxf>
      <fill>
        <patternFill>
          <bgColor rgb="FF8271FF"/>
        </patternFill>
      </fill>
    </dxf>
    <dxf>
      <fill>
        <patternFill>
          <bgColor theme="6" tint="0.79998168889431442"/>
        </patternFill>
      </fill>
    </dxf>
    <dxf>
      <fill>
        <patternFill>
          <bgColor theme="7" tint="0.79998168889431442"/>
        </patternFill>
      </fill>
    </dxf>
    <dxf>
      <fill>
        <patternFill>
          <bgColor theme="9" tint="0.79998168889431442"/>
        </patternFill>
      </fill>
    </dxf>
    <dxf>
      <font>
        <color theme="0"/>
      </font>
      <fill>
        <patternFill>
          <bgColor rgb="FF7030A0"/>
        </patternFill>
      </fill>
    </dxf>
    <dxf>
      <numFmt numFmtId="0" formatCode="General"/>
      <alignment horizontal="righ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30" formatCode="@"/>
    </dxf>
    <dxf>
      <numFmt numFmtId="1" formatCode="0"/>
    </dxf>
    <dxf>
      <numFmt numFmtId="30" formatCode="@"/>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30" formatCode="@"/>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center"/>
    </dxf>
    <dxf>
      <alignment horizontal="center"/>
    </dxf>
    <dxf>
      <border>
        <right style="thin">
          <color indexed="64"/>
        </right>
      </border>
    </dxf>
    <dxf>
      <border>
        <right style="thin">
          <color indexed="64"/>
        </right>
      </border>
    </dxf>
    <dxf>
      <border>
        <right style="thin">
          <color indexed="64"/>
        </right>
      </border>
    </dxf>
    <dxf>
      <border>
        <right style="thin">
          <color indexed="64"/>
        </right>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vertical style="thin">
          <color indexed="64"/>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1"/>
        <color theme="1"/>
        <name val="Microsoft YaHei"/>
        <family val="2"/>
        <scheme val="none"/>
      </font>
      <alignment horizontal="center" vertical="bottom"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Neutre" pivot="0" count="0" xr9:uid="{6361CA36-85CB-4715-BBC4-33F0F5CC9D8A}"/>
  </tableStyles>
  <colors>
    <mruColors>
      <color rgb="FF8271FF"/>
      <color rgb="FFA365D1"/>
      <color rgb="FFF27E7E"/>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5330.614709837966" createdVersion="8" refreshedVersion="8" minRefreshableVersion="3" recordCount="36" xr:uid="{B2C4A21F-6C02-4AD4-B33F-9B17E06CB94F}">
  <cacheSource type="worksheet">
    <worksheetSource name="Aspects"/>
  </cacheSource>
  <cacheFields count="22">
    <cacheField name="Aspect" numFmtId="0">
      <sharedItems/>
    </cacheField>
    <cacheField name="Physique" numFmtId="0">
      <sharedItems/>
    </cacheField>
    <cacheField name="Phy min" numFmtId="1">
      <sharedItems containsSemiMixedTypes="0" containsString="0" containsNumber="1" containsInteger="1" minValue="0" maxValue="15"/>
    </cacheField>
    <cacheField name="Phy max" numFmtId="1">
      <sharedItems containsString="0" containsBlank="1" containsNumber="1" containsInteger="1" minValue="10" maxValue="30"/>
    </cacheField>
    <cacheField name="Mental" numFmtId="0">
      <sharedItems/>
    </cacheField>
    <cacheField name="Men min" numFmtId="1">
      <sharedItems containsSemiMixedTypes="0" containsString="0" containsNumber="1" containsInteger="1" minValue="0" maxValue="15"/>
    </cacheField>
    <cacheField name="Men max" numFmtId="1">
      <sharedItems containsString="0" containsBlank="1" containsNumber="1" containsInteger="1" minValue="10" maxValue="30"/>
    </cacheField>
    <cacheField name="Charactère" numFmtId="0">
      <sharedItems/>
    </cacheField>
    <cacheField name="Cha min" numFmtId="1">
      <sharedItems containsString="0" containsBlank="1" containsNumber="1" containsInteger="1" minValue="0" maxValue="15"/>
    </cacheField>
    <cacheField name="Cha max" numFmtId="1">
      <sharedItems containsString="0" containsBlank="1" containsNumber="1" containsInteger="1" minValue="18" maxValue="25"/>
    </cacheField>
    <cacheField name="Min stats" numFmtId="1">
      <sharedItems containsSemiMixedTypes="0" containsString="0" containsNumber="1" containsInteger="1" minValue="15" maxValue="35"/>
    </cacheField>
    <cacheField name="Max stats" numFmtId="1">
      <sharedItems containsSemiMixedTypes="0" containsString="0" containsNumber="1" containsInteger="1" minValue="0" maxValue="65"/>
    </cacheField>
    <cacheField name="Range stats" numFmtId="1">
      <sharedItems containsSemiMixedTypes="0" containsString="0" containsNumber="1" containsInteger="1" minValue="0" maxValue="35"/>
    </cacheField>
    <cacheField name="Stat favorite" numFmtId="1">
      <sharedItems containsBlank="1" count="8">
        <s v="Force"/>
        <s v="Dextérité"/>
        <s v="Éloquence"/>
        <s v="Intelligence"/>
        <s v="Curiosité"/>
        <s v="Psyché"/>
        <s v="Résilience"/>
        <m u="1"/>
      </sharedItems>
    </cacheField>
    <cacheField name="Alignement" numFmtId="49">
      <sharedItems/>
    </cacheField>
    <cacheField name="Bonté" numFmtId="0">
      <sharedItems count="3">
        <s v="Bon"/>
        <s v="Mauvais"/>
        <s v="Neutre"/>
      </sharedItems>
    </cacheField>
    <cacheField name="Loyauté" numFmtId="0">
      <sharedItems count="3">
        <s v="Neutre"/>
        <s v="Chaotique"/>
        <s v="Loyal"/>
      </sharedItems>
    </cacheField>
    <cacheField name="Magie" numFmtId="0">
      <sharedItems containsSemiMixedTypes="0" containsString="0" containsNumber="1" containsInteger="1" minValue="1" maxValue="2"/>
    </cacheField>
    <cacheField name="Min" numFmtId="0">
      <sharedItems containsSemiMixedTypes="0" containsString="0" containsNumber="1" containsInteger="1" minValue="1" maxValue="1"/>
    </cacheField>
    <cacheField name="Max" numFmtId="0">
      <sharedItems containsSemiMixedTypes="0" containsString="0" containsNumber="1" containsInteger="1" minValue="0" maxValue="1"/>
    </cacheField>
    <cacheField name="Range" numFmtId="0">
      <sharedItems containsSemiMixedTypes="0" containsString="0" containsNumber="1" containsInteger="1" minValue="0" maxValue="1"/>
    </cacheField>
    <cacheField name="Commentair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6069.585417129631" createdVersion="8" refreshedVersion="8" minRefreshableVersion="3" recordCount="156" xr:uid="{805874E3-90C4-4A74-B6B7-26F78E8EC6CD}">
  <cacheSource type="worksheet">
    <worksheetSource name="Sorts"/>
  </cacheSource>
  <cacheFields count="11">
    <cacheField name="Sort" numFmtId="0">
      <sharedItems containsBlank="1"/>
    </cacheField>
    <cacheField name="Rang" numFmtId="0">
      <sharedItems containsSemiMixedTypes="0" containsString="0" containsNumber="1" containsInteger="1" minValue="1" maxValue="3" count="3">
        <n v="1"/>
        <n v="2"/>
        <n v="3"/>
      </sharedItems>
    </cacheField>
    <cacheField name="Type" numFmtId="0">
      <sharedItems containsBlank="1" count="4">
        <s v="Precision"/>
        <s v="Savoir"/>
        <s v="Instinct"/>
        <m/>
      </sharedItems>
    </cacheField>
    <cacheField name="Element" numFmtId="0">
      <sharedItems count="9">
        <s v="Feu"/>
        <s v="Glace"/>
        <s v="Foudre"/>
        <s v="Terre"/>
        <s v="Arcane"/>
        <s v="Air"/>
        <s v="Nature"/>
        <s v="Lumière"/>
        <s v="Psy"/>
      </sharedItems>
    </cacheField>
    <cacheField name="Coût" numFmtId="0">
      <sharedItems containsString="0" containsBlank="1" containsNumber="1" containsInteger="1" minValue="2" maxValue="9"/>
    </cacheField>
    <cacheField name="Incantation" numFmtId="0">
      <sharedItems containsBlank="1"/>
    </cacheField>
    <cacheField name="Concentration" numFmtId="0">
      <sharedItems containsSemiMixedTypes="0" containsString="0" containsNumber="1" containsInteger="1" minValue="0" maxValue="1"/>
    </cacheField>
    <cacheField name="Distance" numFmtId="0">
      <sharedItems containsBlank="1"/>
    </cacheField>
    <cacheField name="Categorie" numFmtId="0">
      <sharedItems containsBlank="1"/>
    </cacheField>
    <cacheField name="Commentaire" numFmtId="0">
      <sharedItems containsBlank="1" count="7">
        <m/>
        <s v="TODO"/>
        <s v="TODO: Illusion mineure #idee"/>
        <s v="TODO: Illusion modérée #idee"/>
        <s v="TODO: Illusion majeure #idee"/>
        <s v="TODO: Zone de silence #idee" u="1"/>
        <s v="IDEE: Télékinesie" u="1"/>
      </sharedItems>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Akkatom"/>
    <s v="15 - "/>
    <n v="15"/>
    <m/>
    <s v="8 - "/>
    <n v="8"/>
    <m/>
    <s v="8 - "/>
    <n v="8"/>
    <m/>
    <n v="31"/>
    <n v="0"/>
    <n v="0"/>
    <x v="0"/>
    <s v="Neutre bon"/>
    <x v="0"/>
    <x v="0"/>
    <n v="2"/>
    <n v="1"/>
    <n v="0"/>
    <n v="0"/>
    <m/>
  </r>
  <r>
    <s v="Rudnard"/>
    <s v="12 - "/>
    <n v="12"/>
    <m/>
    <s v="8 - 25"/>
    <n v="8"/>
    <n v="25"/>
    <s v="10 - "/>
    <n v="10"/>
    <m/>
    <n v="30"/>
    <n v="25"/>
    <n v="0"/>
    <x v="1"/>
    <s v="Chaotique bon"/>
    <x v="0"/>
    <x v="1"/>
    <n v="2"/>
    <n v="1"/>
    <n v="0"/>
    <n v="0"/>
    <m/>
  </r>
  <r>
    <s v="Beth'oit"/>
    <s v="3 - "/>
    <n v="3"/>
    <m/>
    <s v="10 - "/>
    <n v="10"/>
    <m/>
    <s v="12 - "/>
    <n v="12"/>
    <m/>
    <n v="25"/>
    <n v="0"/>
    <n v="0"/>
    <x v="2"/>
    <s v="Loyal bon"/>
    <x v="0"/>
    <x v="2"/>
    <n v="2"/>
    <n v="1"/>
    <n v="0"/>
    <n v="0"/>
    <m/>
  </r>
  <r>
    <s v="Shelfine"/>
    <s v="5 - "/>
    <n v="5"/>
    <m/>
    <s v="12 - "/>
    <n v="12"/>
    <m/>
    <s v="5 - "/>
    <n v="5"/>
    <m/>
    <n v="22"/>
    <n v="0"/>
    <n v="0"/>
    <x v="3"/>
    <s v="Chaotique bon"/>
    <x v="0"/>
    <x v="1"/>
    <n v="2"/>
    <n v="1"/>
    <n v="0"/>
    <n v="0"/>
    <m/>
  </r>
  <r>
    <s v="Ka Bii"/>
    <s v="3 - "/>
    <n v="3"/>
    <m/>
    <s v="12 - "/>
    <n v="12"/>
    <m/>
    <s v="10 - "/>
    <n v="10"/>
    <m/>
    <n v="25"/>
    <n v="0"/>
    <n v="0"/>
    <x v="4"/>
    <s v="Loyal bon"/>
    <x v="0"/>
    <x v="2"/>
    <n v="2"/>
    <n v="1"/>
    <n v="0"/>
    <n v="0"/>
    <m/>
  </r>
  <r>
    <s v="Drinbuur"/>
    <s v="12 - "/>
    <n v="12"/>
    <m/>
    <s v="8 - "/>
    <n v="8"/>
    <m/>
    <s v="15 - "/>
    <n v="15"/>
    <m/>
    <n v="35"/>
    <n v="0"/>
    <n v="0"/>
    <x v="5"/>
    <s v="Neutre bon"/>
    <x v="0"/>
    <x v="0"/>
    <n v="2"/>
    <n v="1"/>
    <n v="0"/>
    <n v="0"/>
    <m/>
  </r>
  <r>
    <s v="Zaliax"/>
    <s v="10 - "/>
    <n v="10"/>
    <m/>
    <s v="0 - "/>
    <n v="0"/>
    <m/>
    <s v="10 - "/>
    <n v="10"/>
    <m/>
    <n v="20"/>
    <n v="0"/>
    <n v="0"/>
    <x v="0"/>
    <s v="Loyal mauvais"/>
    <x v="1"/>
    <x v="2"/>
    <n v="1"/>
    <n v="1"/>
    <n v="0"/>
    <n v="0"/>
    <m/>
  </r>
  <r>
    <s v="Doa Tua"/>
    <s v="8 - "/>
    <n v="8"/>
    <m/>
    <s v="0 - "/>
    <n v="0"/>
    <m/>
    <s v="15 - "/>
    <n v="15"/>
    <m/>
    <n v="23"/>
    <n v="0"/>
    <n v="0"/>
    <x v="2"/>
    <s v="Neutre mauvais"/>
    <x v="1"/>
    <x v="0"/>
    <n v="1"/>
    <n v="1"/>
    <n v="0"/>
    <n v="0"/>
    <m/>
  </r>
  <r>
    <s v="Goldreg"/>
    <s v="5 - "/>
    <n v="5"/>
    <m/>
    <s v="3 - "/>
    <n v="3"/>
    <m/>
    <s v="10 - "/>
    <n v="10"/>
    <m/>
    <n v="18"/>
    <n v="0"/>
    <n v="0"/>
    <x v="5"/>
    <s v="Loyal mauvais"/>
    <x v="1"/>
    <x v="2"/>
    <n v="1"/>
    <n v="1"/>
    <n v="0"/>
    <n v="0"/>
    <m/>
  </r>
  <r>
    <s v="Qua'faltar"/>
    <s v="10 - "/>
    <n v="10"/>
    <m/>
    <s v="8 - "/>
    <n v="8"/>
    <m/>
    <s v="12 - "/>
    <n v="12"/>
    <m/>
    <n v="30"/>
    <n v="0"/>
    <n v="0"/>
    <x v="5"/>
    <s v="Chaotique mauvais"/>
    <x v="1"/>
    <x v="1"/>
    <n v="2"/>
    <n v="1"/>
    <n v="0"/>
    <n v="0"/>
    <m/>
  </r>
  <r>
    <s v="Shlahog"/>
    <s v="15 - "/>
    <n v="15"/>
    <m/>
    <s v="8 - "/>
    <n v="8"/>
    <m/>
    <s v="10 - "/>
    <n v="10"/>
    <m/>
    <n v="33"/>
    <n v="0"/>
    <n v="0"/>
    <x v="0"/>
    <s v="Chaotique mauvais"/>
    <x v="1"/>
    <x v="1"/>
    <n v="2"/>
    <n v="1"/>
    <n v="0"/>
    <n v="0"/>
    <m/>
  </r>
  <r>
    <s v="Urdi'rik"/>
    <s v="10 - "/>
    <n v="10"/>
    <m/>
    <s v="8 - "/>
    <n v="8"/>
    <m/>
    <s v="5 - "/>
    <n v="5"/>
    <m/>
    <n v="23"/>
    <n v="0"/>
    <n v="0"/>
    <x v="6"/>
    <s v="Loyal mauvais"/>
    <x v="1"/>
    <x v="2"/>
    <n v="2"/>
    <n v="1"/>
    <n v="0"/>
    <n v="0"/>
    <m/>
  </r>
  <r>
    <s v="Asnol"/>
    <s v="3 - "/>
    <n v="3"/>
    <m/>
    <s v="8 - "/>
    <n v="8"/>
    <m/>
    <s v="12 - "/>
    <n v="12"/>
    <m/>
    <n v="23"/>
    <n v="0"/>
    <n v="0"/>
    <x v="3"/>
    <s v="Neutre mauvais"/>
    <x v="1"/>
    <x v="0"/>
    <n v="2"/>
    <n v="1"/>
    <n v="0"/>
    <n v="0"/>
    <m/>
  </r>
  <r>
    <s v="Promolide"/>
    <s v="15 - "/>
    <n v="15"/>
    <m/>
    <s v="10 - "/>
    <n v="10"/>
    <m/>
    <s v="10 - "/>
    <n v="10"/>
    <m/>
    <n v="35"/>
    <n v="0"/>
    <n v="0"/>
    <x v="6"/>
    <s v="Chaotique mauvais"/>
    <x v="1"/>
    <x v="1"/>
    <n v="2"/>
    <n v="1"/>
    <n v="0"/>
    <n v="0"/>
    <m/>
  </r>
  <r>
    <s v="Kronian"/>
    <s v="3 - "/>
    <n v="3"/>
    <m/>
    <s v="10 - "/>
    <n v="10"/>
    <m/>
    <s v="15 - "/>
    <n v="15"/>
    <m/>
    <n v="28"/>
    <n v="0"/>
    <n v="0"/>
    <x v="5"/>
    <s v="Neutre mauvais"/>
    <x v="1"/>
    <x v="0"/>
    <n v="2"/>
    <n v="1"/>
    <n v="0"/>
    <n v="0"/>
    <m/>
  </r>
  <r>
    <s v="Othompa"/>
    <s v="8 - "/>
    <n v="8"/>
    <m/>
    <s v="10 - "/>
    <n v="10"/>
    <m/>
    <s v="12 - "/>
    <n v="12"/>
    <m/>
    <n v="30"/>
    <n v="0"/>
    <n v="0"/>
    <x v="5"/>
    <s v="Neutre mauvais"/>
    <x v="1"/>
    <x v="0"/>
    <n v="2"/>
    <n v="1"/>
    <n v="0"/>
    <n v="0"/>
    <m/>
  </r>
  <r>
    <s v="Mul'dekar"/>
    <s v="8 - "/>
    <n v="8"/>
    <m/>
    <s v="12 - "/>
    <n v="12"/>
    <m/>
    <s v="10 - "/>
    <n v="10"/>
    <m/>
    <n v="30"/>
    <n v="0"/>
    <n v="0"/>
    <x v="4"/>
    <s v="Neutre mauvais"/>
    <x v="1"/>
    <x v="0"/>
    <n v="2"/>
    <n v="1"/>
    <n v="0"/>
    <n v="0"/>
    <m/>
  </r>
  <r>
    <s v="Lonidae"/>
    <s v="3 - "/>
    <n v="3"/>
    <m/>
    <s v="15 - "/>
    <n v="15"/>
    <m/>
    <s v="10 - "/>
    <n v="10"/>
    <m/>
    <n v="28"/>
    <n v="0"/>
    <n v="0"/>
    <x v="3"/>
    <s v="Chaotique mauvais"/>
    <x v="1"/>
    <x v="1"/>
    <n v="2"/>
    <n v="1"/>
    <n v="0"/>
    <n v="0"/>
    <m/>
  </r>
  <r>
    <s v="Thymeïr"/>
    <s v="15 - "/>
    <n v="15"/>
    <m/>
    <s v="3 - "/>
    <n v="3"/>
    <m/>
    <s v="10 - "/>
    <n v="10"/>
    <m/>
    <n v="28"/>
    <n v="0"/>
    <n v="0"/>
    <x v="0"/>
    <s v="Chaotique mauvais"/>
    <x v="1"/>
    <x v="1"/>
    <n v="1"/>
    <n v="1"/>
    <n v="0"/>
    <n v="0"/>
    <m/>
  </r>
  <r>
    <s v="Incabat"/>
    <s v="15 - "/>
    <n v="15"/>
    <m/>
    <s v="3 - "/>
    <n v="3"/>
    <m/>
    <s v="12 - "/>
    <n v="12"/>
    <m/>
    <n v="30"/>
    <n v="0"/>
    <n v="0"/>
    <x v="6"/>
    <s v="Neutre mauvais"/>
    <x v="1"/>
    <x v="0"/>
    <n v="1"/>
    <n v="1"/>
    <n v="0"/>
    <n v="0"/>
    <m/>
  </r>
  <r>
    <s v="Digride"/>
    <s v="10 - 20"/>
    <n v="10"/>
    <n v="20"/>
    <s v="8 - 20"/>
    <n v="8"/>
    <n v="20"/>
    <s v="12 - 25"/>
    <n v="12"/>
    <n v="25"/>
    <n v="30"/>
    <n v="65"/>
    <n v="35"/>
    <x v="1"/>
    <s v="Neutre mauvais"/>
    <x v="1"/>
    <x v="0"/>
    <n v="2"/>
    <n v="1"/>
    <n v="1"/>
    <n v="1"/>
    <m/>
  </r>
  <r>
    <s v="Jernius"/>
    <s v="5 - "/>
    <n v="5"/>
    <m/>
    <s v="5 - "/>
    <n v="5"/>
    <m/>
    <s v="5 - "/>
    <n v="5"/>
    <m/>
    <n v="15"/>
    <n v="0"/>
    <n v="0"/>
    <x v="4"/>
    <s v="Neutre"/>
    <x v="2"/>
    <x v="0"/>
    <n v="1"/>
    <n v="1"/>
    <n v="0"/>
    <n v="0"/>
    <s v="Exception, ne pas monter plus le mental"/>
  </r>
  <r>
    <s v="Calderan"/>
    <s v="5 - "/>
    <n v="5"/>
    <m/>
    <s v="8 - "/>
    <n v="8"/>
    <m/>
    <s v="5 - "/>
    <n v="5"/>
    <m/>
    <n v="18"/>
    <n v="0"/>
    <n v="0"/>
    <x v="3"/>
    <s v="Loyal neutre"/>
    <x v="2"/>
    <x v="2"/>
    <n v="2"/>
    <n v="1"/>
    <n v="0"/>
    <n v="0"/>
    <m/>
  </r>
  <r>
    <s v="Nigiak"/>
    <s v="3 - "/>
    <n v="3"/>
    <m/>
    <s v="8 - "/>
    <n v="8"/>
    <m/>
    <s v="8 - "/>
    <n v="8"/>
    <m/>
    <n v="19"/>
    <n v="0"/>
    <n v="0"/>
    <x v="2"/>
    <s v="Loyal neutre"/>
    <x v="2"/>
    <x v="2"/>
    <n v="2"/>
    <n v="1"/>
    <n v="0"/>
    <n v="0"/>
    <m/>
  </r>
  <r>
    <s v="Yinkovn"/>
    <s v="0 - "/>
    <n v="0"/>
    <m/>
    <s v="8 - "/>
    <n v="8"/>
    <m/>
    <s v="15 - "/>
    <n v="15"/>
    <m/>
    <n v="23"/>
    <n v="0"/>
    <n v="0"/>
    <x v="5"/>
    <s v="Neutre"/>
    <x v="2"/>
    <x v="0"/>
    <n v="2"/>
    <n v="1"/>
    <n v="0"/>
    <n v="0"/>
    <m/>
  </r>
  <r>
    <s v="Miador"/>
    <s v="8 - "/>
    <n v="8"/>
    <m/>
    <s v="10 - "/>
    <n v="10"/>
    <m/>
    <s v="0 - "/>
    <n v="0"/>
    <m/>
    <n v="18"/>
    <n v="0"/>
    <n v="0"/>
    <x v="1"/>
    <s v="Loyal neutre"/>
    <x v="2"/>
    <x v="2"/>
    <n v="2"/>
    <n v="1"/>
    <n v="0"/>
    <n v="0"/>
    <m/>
  </r>
  <r>
    <s v="Hashura"/>
    <s v="8 - "/>
    <n v="8"/>
    <m/>
    <s v="10 - "/>
    <n v="10"/>
    <m/>
    <s v="12 - "/>
    <n v="12"/>
    <m/>
    <n v="30"/>
    <n v="0"/>
    <n v="0"/>
    <x v="2"/>
    <s v="Neutre"/>
    <x v="2"/>
    <x v="0"/>
    <n v="2"/>
    <n v="1"/>
    <n v="0"/>
    <n v="0"/>
    <m/>
  </r>
  <r>
    <s v="Nyelis"/>
    <s v="5 - "/>
    <n v="5"/>
    <m/>
    <s v="10 - "/>
    <n v="10"/>
    <m/>
    <s v="5 - "/>
    <n v="5"/>
    <m/>
    <n v="20"/>
    <n v="0"/>
    <n v="0"/>
    <x v="4"/>
    <s v="Neutre"/>
    <x v="2"/>
    <x v="0"/>
    <n v="2"/>
    <n v="1"/>
    <n v="0"/>
    <n v="0"/>
    <m/>
  </r>
  <r>
    <s v="Onimee"/>
    <s v="12 - "/>
    <n v="12"/>
    <m/>
    <s v="0 - "/>
    <n v="0"/>
    <m/>
    <s v="8 - "/>
    <n v="8"/>
    <m/>
    <n v="20"/>
    <n v="0"/>
    <n v="0"/>
    <x v="1"/>
    <s v="Chaotique neutre"/>
    <x v="2"/>
    <x v="1"/>
    <n v="1"/>
    <n v="1"/>
    <n v="0"/>
    <n v="0"/>
    <m/>
  </r>
  <r>
    <s v="Zeniom"/>
    <s v="5 - "/>
    <n v="5"/>
    <m/>
    <s v="10 - "/>
    <n v="10"/>
    <m/>
    <s v="12 - "/>
    <n v="12"/>
    <m/>
    <n v="27"/>
    <n v="0"/>
    <n v="0"/>
    <x v="2"/>
    <s v="Chaotique neutre"/>
    <x v="2"/>
    <x v="1"/>
    <n v="2"/>
    <n v="1"/>
    <n v="0"/>
    <n v="0"/>
    <m/>
  </r>
  <r>
    <s v="Vadeaxil"/>
    <s v="15 - "/>
    <n v="15"/>
    <m/>
    <s v="12 - "/>
    <n v="12"/>
    <m/>
    <s v="0 - "/>
    <n v="0"/>
    <m/>
    <n v="27"/>
    <n v="0"/>
    <n v="0"/>
    <x v="0"/>
    <s v="Neutre"/>
    <x v="2"/>
    <x v="0"/>
    <n v="2"/>
    <n v="1"/>
    <n v="0"/>
    <n v="0"/>
    <m/>
  </r>
  <r>
    <s v="Kuelid"/>
    <s v="0 - "/>
    <n v="0"/>
    <m/>
    <s v="15 - "/>
    <n v="15"/>
    <m/>
    <s v="5 - "/>
    <n v="5"/>
    <m/>
    <n v="20"/>
    <n v="0"/>
    <n v="0"/>
    <x v="3"/>
    <s v="Loyal neutre"/>
    <x v="2"/>
    <x v="2"/>
    <n v="2"/>
    <n v="1"/>
    <n v="0"/>
    <n v="0"/>
    <m/>
  </r>
  <r>
    <s v="Franeline"/>
    <s v="10 - "/>
    <n v="10"/>
    <m/>
    <s v="12 - "/>
    <n v="12"/>
    <m/>
    <s v=" - "/>
    <m/>
    <m/>
    <n v="22"/>
    <n v="0"/>
    <n v="0"/>
    <x v="1"/>
    <s v="Neutre"/>
    <x v="2"/>
    <x v="0"/>
    <n v="2"/>
    <n v="1"/>
    <n v="0"/>
    <n v="0"/>
    <m/>
  </r>
  <r>
    <s v="Arsinam"/>
    <s v="15 - "/>
    <n v="15"/>
    <m/>
    <s v="5 - "/>
    <n v="5"/>
    <m/>
    <s v=" - "/>
    <m/>
    <m/>
    <n v="20"/>
    <n v="0"/>
    <n v="0"/>
    <x v="6"/>
    <s v="Chaotique neutre"/>
    <x v="2"/>
    <x v="1"/>
    <n v="1"/>
    <n v="1"/>
    <n v="0"/>
    <n v="0"/>
    <m/>
  </r>
  <r>
    <s v="Brukaur"/>
    <s v="15 - 30"/>
    <n v="15"/>
    <n v="30"/>
    <s v="3 - 10"/>
    <n v="3"/>
    <n v="10"/>
    <s v="8 - 20"/>
    <n v="8"/>
    <n v="20"/>
    <n v="26"/>
    <n v="60"/>
    <n v="34"/>
    <x v="6"/>
    <s v="Chaotique neutre"/>
    <x v="2"/>
    <x v="1"/>
    <n v="1"/>
    <n v="1"/>
    <n v="1"/>
    <n v="1"/>
    <m/>
  </r>
  <r>
    <s v="Anseilid"/>
    <s v="3 - 10"/>
    <n v="3"/>
    <n v="10"/>
    <s v="15 - 30"/>
    <n v="15"/>
    <n v="30"/>
    <s v="10 - 18"/>
    <n v="10"/>
    <n v="18"/>
    <n v="28"/>
    <n v="58"/>
    <n v="30"/>
    <x v="3"/>
    <s v="Chaotique neutre"/>
    <x v="2"/>
    <x v="1"/>
    <n v="2"/>
    <n v="1"/>
    <n v="1"/>
    <n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6">
  <r>
    <s v="Trait de feu"/>
    <x v="0"/>
    <x v="0"/>
    <x v="0"/>
    <n v="3"/>
    <s v="action"/>
    <n v="0"/>
    <s v="12 cases"/>
    <s v="Dégats"/>
    <x v="0"/>
    <s v="&gt;Faites un jet d'attaque avec la [[1. Entrainement#La dextérité|dextérité]]. Tire un faisceau de flamme, infligeant 2d8 dégâts de feu en touchant."/>
  </r>
  <r>
    <s v="Echauffement"/>
    <x v="0"/>
    <x v="1"/>
    <x v="0"/>
    <n v="2"/>
    <s v="action"/>
    <n v="0"/>
    <s v="3 cases"/>
    <s v="Buff"/>
    <x v="0"/>
    <s v="&gt;Chauffe à blanc une arme ou un projectile. Jusqu'au début de votre prochain tour, les coups portés avec l'objet infligent 1d6 dégâts supplémentaire. Les dégâts de l'arme deviennent des dégâts de feu."/>
  </r>
  <r>
    <s v="Projection bouillonnante"/>
    <x v="0"/>
    <x v="0"/>
    <x v="0"/>
    <n v="6"/>
    <s v="action"/>
    <n v="0"/>
    <s v="6 cases"/>
    <s v="Dégats"/>
    <x v="0"/>
    <s v="&gt;Lance un projectile de feu éclatant sur 3 cases de rayon. Chaque personne dans le rayon doit réussir un [[3. Résistance aux chocs#Le jet de résistance|jet de résistance]](d10/6 + mod. d'[[1. Entrainement#L'intelligence|intelligence]]) ou subit 2d8 dégâts de feu."/>
  </r>
  <r>
    <s v="Corps ardent"/>
    <x v="0"/>
    <x v="1"/>
    <x v="0"/>
    <n v="6"/>
    <s v="action"/>
    <n v="1"/>
    <s v="Personnel"/>
    <s v="Dégats"/>
    <x v="0"/>
    <s v="&gt;Pendant 5 tours, toute personne terminant son tour à une case de vous subit 1d10 dégâts de feu."/>
  </r>
  <r>
    <s v="Gravure marquante"/>
    <x v="0"/>
    <x v="1"/>
    <x v="0"/>
    <n v="3"/>
    <s v="10 minutes"/>
    <n v="0"/>
    <s v="Toucher"/>
    <s v="Utilitaire"/>
    <x v="0"/>
    <s v="&gt; Grave une marque discrète sur un objet, restant durant 3 jours ou jusqu'à ce que quelqu'un rentre en contact avec la marque, auquel cas cette dernière lui sera gravée avec une désagréable sensation de brulure. La brulure disparait après 3 jours."/>
  </r>
  <r>
    <s v="Embrasement réflexe"/>
    <x v="0"/>
    <x v="2"/>
    <x v="0"/>
    <n v="3"/>
    <s v="reaction"/>
    <n v="0"/>
    <s v="Toucher"/>
    <s v="Tank"/>
    <x v="0"/>
    <s v="&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
  </r>
  <r>
    <s v="Protection supérieure"/>
    <x v="0"/>
    <x v="2"/>
    <x v="1"/>
    <n v="3"/>
    <s v="reaction"/>
    <n v="0"/>
    <s v="Personnel"/>
    <s v="Tank"/>
    <x v="0"/>
    <s v="&gt;Lorsque vous êtes visé par une attaque, vous créez une couche de glace autour de votre armure, lui permettant de subir l'intégralité des dégâts sur le coup."/>
  </r>
  <r>
    <s v="Lames de glace"/>
    <x v="0"/>
    <x v="0"/>
    <x v="1"/>
    <n v="3"/>
    <s v="action"/>
    <n v="0"/>
    <s v="12 cases"/>
    <s v="Dégats"/>
    <x v="0"/>
    <s v="&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
  </r>
  <r>
    <s v="Glisse gracieuse"/>
    <x v="0"/>
    <x v="1"/>
    <x v="1"/>
    <n v="2"/>
    <s v="action"/>
    <n v="0"/>
    <s v="Personnel"/>
    <s v="Mouvement"/>
    <x v="0"/>
    <s v="&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
  </r>
  <r>
    <m/>
    <x v="0"/>
    <x v="1"/>
    <x v="1"/>
    <m/>
    <s v="action"/>
    <n v="1"/>
    <m/>
    <s v="Utilitaire"/>
    <x v="1"/>
    <m/>
  </r>
  <r>
    <m/>
    <x v="0"/>
    <x v="2"/>
    <x v="1"/>
    <m/>
    <s v="action"/>
    <n v="0"/>
    <m/>
    <s v="Buff"/>
    <x v="1"/>
    <m/>
  </r>
  <r>
    <m/>
    <x v="0"/>
    <x v="0"/>
    <x v="1"/>
    <m/>
    <s v="action"/>
    <n v="0"/>
    <m/>
    <s v="Dégats"/>
    <x v="1"/>
    <m/>
  </r>
  <r>
    <s v="Chaine de foudre"/>
    <x v="0"/>
    <x v="0"/>
    <x v="2"/>
    <n v="3"/>
    <s v="action"/>
    <n v="0"/>
    <s v="12 cases"/>
    <s v="Dégats"/>
    <x v="0"/>
    <s v="&gt;Faites un jet d'attaque avec la [[1. Entrainement#Dextérité|dextérité]]. Frappe une cible visible puis rebondit sur jusqu'à 2 autres cibles. Inflige 1d8[[2. Glossaire#Jet explosif|!]] dégâts de foudre."/>
  </r>
  <r>
    <s v="Vitesse lumière"/>
    <x v="0"/>
    <x v="1"/>
    <x v="2"/>
    <n v="2"/>
    <s v="action"/>
    <n v="0"/>
    <s v="Personnel"/>
    <s v="Mouvement"/>
    <x v="0"/>
    <s v="&gt;Se téléporte à 6 cases tant que vous pouvez voir et courir vers la destination."/>
  </r>
  <r>
    <s v="Décharge de foudre"/>
    <x v="0"/>
    <x v="0"/>
    <x v="2"/>
    <n v="3"/>
    <s v="action"/>
    <n v="0"/>
    <s v="12 cases"/>
    <s v="Dégats"/>
    <x v="0"/>
    <s v="&gt;Faites un jet d'attaque avec la [[1. Entrainement#La dextérité|dextérité]]. Tire une décharge foudroyante d'énergie, infligeant 4d4[[2. Glossaire#Jet explosif|!]] dégâts de foudre."/>
  </r>
  <r>
    <s v="Menace statique"/>
    <x v="0"/>
    <x v="2"/>
    <x v="2"/>
    <n v="5"/>
    <s v="action"/>
    <n v="0"/>
    <s v="6 cases"/>
    <s v="Debuff"/>
    <x v="0"/>
    <s v="&gt;Place une zone de puissance electrisante de 2 cases de rayon pendant un tour. Toute personne qui se déplace dans cette zone prends 1d4! dégâts de foudre par case parcouru."/>
  </r>
  <r>
    <m/>
    <x v="0"/>
    <x v="2"/>
    <x v="2"/>
    <m/>
    <s v="reaction"/>
    <n v="0"/>
    <m/>
    <s v="Mouvement"/>
    <x v="1"/>
    <m/>
  </r>
  <r>
    <s v="Vrombissement assourdissant"/>
    <x v="0"/>
    <x v="2"/>
    <x v="2"/>
    <n v="3"/>
    <s v="action"/>
    <n v="0"/>
    <s v="9 cases"/>
    <s v="Debuff"/>
    <x v="0"/>
    <s v="&gt;Désignez une zone de 2 cases de rayon. Toutes personne dans la zone doit réussir un jet de résistance (d6/4 + mod. de psyché) de constitution ou subit un malus de -3 en compréhension et en représentation."/>
  </r>
  <r>
    <s v="Pilier de force"/>
    <x v="0"/>
    <x v="0"/>
    <x v="3"/>
    <n v="2"/>
    <s v="action"/>
    <n v="0"/>
    <s v="6 cases"/>
    <s v="Dégats"/>
    <x v="0"/>
    <s v="&gt;Faites un jet d'attaque avec la [[1. Entrainement#La dextérité|dextérité]]. Un pilier de matière est extirpé du sol pour aller frapper la cible, qui est alors déplacée d'une case. Si la cible est propulsée contre un mur, elle subit alors 3d12 dégâts contondant."/>
  </r>
  <r>
    <s v="Choc de roche"/>
    <x v="0"/>
    <x v="0"/>
    <x v="3"/>
    <n v="3"/>
    <s v="action"/>
    <n v="0"/>
    <s v="6 cases"/>
    <s v="Debuff"/>
    <x v="0"/>
    <s v="&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
  </r>
  <r>
    <s v="Bouclier tortue"/>
    <x v="0"/>
    <x v="1"/>
    <x v="3"/>
    <n v="3"/>
    <s v="action"/>
    <n v="1"/>
    <s v="Personnel"/>
    <s v="Tank"/>
    <x v="0"/>
    <s v="&gt;Durant 1 minute, vous gagnez un bonus de 2 au blocage, mais subissez également un malus de 2 à l'esquive et perdez 2 cases de vitesse de course."/>
  </r>
  <r>
    <s v="Peau de pierre"/>
    <x v="0"/>
    <x v="2"/>
    <x v="3"/>
    <n v="3"/>
    <s v="reaction"/>
    <n v="0"/>
    <s v="Personnel"/>
    <s v="Tank"/>
    <x v="0"/>
    <s v="&gt; Vous gagnez une résistance aux dégâts physiques jusqu'au début de votre prochain tour."/>
  </r>
  <r>
    <m/>
    <x v="0"/>
    <x v="1"/>
    <x v="3"/>
    <m/>
    <s v="action"/>
    <n v="0"/>
    <m/>
    <s v="Support"/>
    <x v="1"/>
    <m/>
  </r>
  <r>
    <s v="Rafistolage"/>
    <x v="0"/>
    <x v="1"/>
    <x v="3"/>
    <m/>
    <s v="10 minutes"/>
    <n v="0"/>
    <s v="Toucher"/>
    <s v="Utilitaire"/>
    <x v="0"/>
    <s v="&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
  </r>
  <r>
    <s v="Enchantement mineur"/>
    <x v="0"/>
    <x v="1"/>
    <x v="4"/>
    <n v="2"/>
    <s v="action"/>
    <n v="0"/>
    <s v="Personnel"/>
    <s v="Buff"/>
    <x v="0"/>
    <s v="&gt; Condense de l'énergie magique dans une arme ou un projectile sur vous. Vous faites une attaque immédiatement après avoir lancé ce sort sans dépenser d'action, infligeant 1d8 dégâts supplémentaire. Les dégâts de l'arme deviennent magique."/>
  </r>
  <r>
    <s v="Rupture de force"/>
    <x v="0"/>
    <x v="1"/>
    <x v="4"/>
    <n v="5"/>
    <s v="action"/>
    <n v="0"/>
    <s v="6 cases"/>
    <s v="Dégats"/>
    <x v="0"/>
    <s v="&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
  </r>
  <r>
    <s v="Essence magique"/>
    <x v="0"/>
    <x v="1"/>
    <x v="4"/>
    <n v="2"/>
    <s v="1 minute"/>
    <n v="0"/>
    <s v="Toucher"/>
    <s v="Utilitaire"/>
    <x v="0"/>
    <s v="&gt;Vous êtes capable d'identifier toutes les composantes d'un sort, d'un enchantement ou d'un objet magique. "/>
  </r>
  <r>
    <m/>
    <x v="0"/>
    <x v="2"/>
    <x v="4"/>
    <m/>
    <s v="action"/>
    <n v="0"/>
    <m/>
    <s v="Buff"/>
    <x v="0"/>
    <s v="&gt;Vous créez un lien éphémère avec une cible consentante. Jusqu'à la fin de votre prochain tour, si l'un de vous deux subit des dégâts, l'autre peut dépenser une réaction pour subir la moitié à sa place."/>
  </r>
  <r>
    <s v="Vision arcanique"/>
    <x v="0"/>
    <x v="1"/>
    <x v="4"/>
    <n v="3"/>
    <s v="1 minute"/>
    <n v="1"/>
    <s v="Personnel"/>
    <s v="Utilitaire"/>
    <x v="0"/>
    <s v="&gt;Pendant 10 minutes, vous pouvez percevoir toute trace de magie sous forme de tache bleutée laissant une faible persistance sur votre rétine. "/>
  </r>
  <r>
    <m/>
    <x v="0"/>
    <x v="0"/>
    <x v="4"/>
    <m/>
    <s v="action"/>
    <n v="0"/>
    <m/>
    <s v="Utilitaire"/>
    <x v="1"/>
    <m/>
  </r>
  <r>
    <m/>
    <x v="0"/>
    <x v="2"/>
    <x v="4"/>
    <m/>
    <s v="reaction"/>
    <n v="0"/>
    <m/>
    <s v="Support"/>
    <x v="1"/>
    <m/>
  </r>
  <r>
    <m/>
    <x v="0"/>
    <x v="1"/>
    <x v="4"/>
    <m/>
    <s v="action"/>
    <n v="0"/>
    <m/>
    <s v="Support"/>
    <x v="1"/>
    <m/>
  </r>
  <r>
    <s v="Foulée aérienne"/>
    <x v="0"/>
    <x v="1"/>
    <x v="5"/>
    <n v="3"/>
    <s v="action"/>
    <n v="0"/>
    <s v="12 cases"/>
    <s v="Buff"/>
    <x v="0"/>
    <s v="&gt;La vitesse de course de votre cible augmente de 2 cases pendant 1 minute. Elle gagne également un bonus de +1 à l'esquive."/>
  </r>
  <r>
    <s v="Pression forcée"/>
    <x v="0"/>
    <x v="0"/>
    <x v="5"/>
    <n v="5"/>
    <s v="action"/>
    <n v="0"/>
    <s v="18 cases"/>
    <s v="Mouvement"/>
    <x v="0"/>
    <s v="&gt;Crée une imposante colonne d'air descendent de 3 cases de rayon sur 12 cases de haut à 18 cases de vous. Les créatures à l'intérieur ont un malus de 1 à l'esquive. Les créatures volantes chutent de 3 cases par tour. Dure 5 tours."/>
  </r>
  <r>
    <s v="Poids plume"/>
    <x v="0"/>
    <x v="1"/>
    <x v="5"/>
    <n v="2"/>
    <s v="action"/>
    <n v="1"/>
    <s v="Toucher"/>
    <s v="Utilitaire"/>
    <x v="0"/>
    <s v="&gt;Réduit le poids d'un objet à un dixième de son poids d'origine pendant 1 minute. Fonctionne sur des objets inertes allant jusqu'à 500kg. "/>
  </r>
  <r>
    <s v="Insaisissable"/>
    <x v="0"/>
    <x v="0"/>
    <x v="5"/>
    <n v="2"/>
    <s v="action"/>
    <n v="0"/>
    <s v="Personnel"/>
    <s v="Buff"/>
    <x v="0"/>
    <s v="&gt;Jusqu'à la fin de votre prochain tour, vous imposez un [[2. Glossaire#Avantage et désavantage|désavantage]] à toute personne qui essaye de vous [[2. Actions en combat#Contraindre|contraindre]]."/>
  </r>
  <r>
    <m/>
    <x v="0"/>
    <x v="0"/>
    <x v="5"/>
    <m/>
    <s v="action"/>
    <n v="0"/>
    <m/>
    <s v="Dégats"/>
    <x v="1"/>
    <m/>
  </r>
  <r>
    <m/>
    <x v="0"/>
    <x v="2"/>
    <x v="5"/>
    <m/>
    <s v="action"/>
    <n v="0"/>
    <m/>
    <s v="Support"/>
    <x v="1"/>
    <m/>
  </r>
  <r>
    <s v="Conservation"/>
    <x v="0"/>
    <x v="1"/>
    <x v="6"/>
    <n v="2"/>
    <s v="1 minute"/>
    <n v="0"/>
    <s v="Toucher"/>
    <s v="Utilitaire"/>
    <x v="0"/>
    <s v="&gt;Permet à jusqu'à 5 herbes ou préparations médicinales de se conserver 1 jour de plus. *Ne peux être utilisé qu'une seule fois par herbe/préparation.*"/>
  </r>
  <r>
    <s v="Echange d'énergie"/>
    <x v="0"/>
    <x v="2"/>
    <x v="6"/>
    <n v="3"/>
    <s v="action"/>
    <n v="0"/>
    <s v="Toucher"/>
    <s v="Support"/>
    <x v="0"/>
    <s v="&gt; Vous récupérez un point de fatigue temporaire de la cible que vous touchez."/>
  </r>
  <r>
    <s v="Corrosion"/>
    <x v="0"/>
    <x v="0"/>
    <x v="6"/>
    <n v="3"/>
    <s v="action"/>
    <n v="0"/>
    <s v="9 cases"/>
    <s v="Dégats"/>
    <x v="0"/>
    <s v="&gt;Faites un jet d'attaque avec la [[1. Entrainement#La dextérité|dextérité]]. Inflige 2d8+2 dégâts magique à l'armure de la cible."/>
  </r>
  <r>
    <s v="Appel de la nature"/>
    <x v="0"/>
    <x v="2"/>
    <x v="6"/>
    <n v="2"/>
    <s v="action"/>
    <n v="0"/>
    <s v="Personnel"/>
    <s v="Support"/>
    <x v="0"/>
    <s v="&gt; Vous vous [[1. Aspect#Transformations|transformez]] immédiatement sans avoir à faire de jet. Après 5 tours, vous reprenez forme humaine et ne pouvez plus vous transformez pendant 5 tours."/>
  </r>
  <r>
    <m/>
    <x v="0"/>
    <x v="3"/>
    <x v="6"/>
    <m/>
    <m/>
    <n v="0"/>
    <m/>
    <m/>
    <x v="1"/>
    <m/>
  </r>
  <r>
    <m/>
    <x v="0"/>
    <x v="3"/>
    <x v="6"/>
    <m/>
    <m/>
    <n v="0"/>
    <m/>
    <m/>
    <x v="1"/>
    <m/>
  </r>
  <r>
    <s v="Absorption radieuse"/>
    <x v="0"/>
    <x v="1"/>
    <x v="7"/>
    <n v="3"/>
    <s v="action"/>
    <n v="1"/>
    <s v="9 cases"/>
    <s v="Support"/>
    <x v="0"/>
    <s v="&gt; Absorbe la lumière d'une zone de 4 cases de rayon, la faisant apparaitre comme plus sombre durant 1 minute. "/>
  </r>
  <r>
    <s v="Orbe de lumière"/>
    <x v="0"/>
    <x v="1"/>
    <x v="7"/>
    <n v="2"/>
    <s v="action"/>
    <n v="0"/>
    <s v="6 cases"/>
    <s v="Utilitaire"/>
    <x v="0"/>
    <s v="&gt; Fait apparaitre une boule de lumière immatérielle illuminant d'une lumière visible à 12 cases. Peut être bougée de 6 cases avec une action libre."/>
  </r>
  <r>
    <s v="Pas des ombres"/>
    <x v="0"/>
    <x v="2"/>
    <x v="7"/>
    <n v="4"/>
    <s v="action"/>
    <n v="0"/>
    <s v="Personnel"/>
    <s v="Mouvement"/>
    <x v="0"/>
    <s v="&gt; Si vous êtes dans une zone de noir total, vous pouvez vous téléporter dans n'importe quelle autre zone de noir total à 9 cases."/>
  </r>
  <r>
    <m/>
    <x v="0"/>
    <x v="0"/>
    <x v="7"/>
    <m/>
    <m/>
    <n v="0"/>
    <m/>
    <s v="Utilitaire"/>
    <x v="2"/>
    <m/>
  </r>
  <r>
    <s v="Lanterne de salvation"/>
    <x v="0"/>
    <x v="1"/>
    <x v="7"/>
    <n v="2"/>
    <s v="action"/>
    <n v="1"/>
    <s v="Personnel"/>
    <s v="Buff"/>
    <x v="0"/>
    <s v="&gt;Votre corps émet une lumière douce à 6 cases. Les alliés dans cette lumière ont un bonus de +1 aux jets de résistance de peur et de charme. Vous pouvez éteindre ou rallumer cette lumière avec une action libre."/>
  </r>
  <r>
    <m/>
    <x v="0"/>
    <x v="0"/>
    <x v="7"/>
    <m/>
    <m/>
    <n v="0"/>
    <m/>
    <m/>
    <x v="0"/>
    <m/>
  </r>
  <r>
    <s v="Visions de terreur"/>
    <x v="0"/>
    <x v="2"/>
    <x v="8"/>
    <n v="6"/>
    <s v="action"/>
    <n v="0"/>
    <s v="3 cases"/>
    <s v="Debuff"/>
    <x v="0"/>
    <s v="&gt;Envenime l'esprit de la cible, brouillant sa perception de la réalité et lui faisant voir des images subliminales de chaos. La cible fait un [[3. Résistance aux chocs#Le jet de résistance|jet de résistance]] (d8/4 + mod. de psyché) à la [[2. Liste des effets#Apeuré|peur]]."/>
  </r>
  <r>
    <m/>
    <x v="0"/>
    <x v="0"/>
    <x v="8"/>
    <m/>
    <m/>
    <n v="0"/>
    <m/>
    <s v="Dégats"/>
    <x v="1"/>
    <m/>
  </r>
  <r>
    <m/>
    <x v="0"/>
    <x v="1"/>
    <x v="8"/>
    <m/>
    <m/>
    <n v="1"/>
    <m/>
    <s v="Debuff"/>
    <x v="1"/>
    <m/>
  </r>
  <r>
    <s v="Influence brumeuse"/>
    <x v="0"/>
    <x v="2"/>
    <x v="8"/>
    <n v="5"/>
    <s v="action"/>
    <n v="0"/>
    <s v="Toucher"/>
    <s v="Debuff"/>
    <x v="0"/>
    <s v="&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
  </r>
  <r>
    <s v="Detection de psyché"/>
    <x v="0"/>
    <x v="2"/>
    <x v="8"/>
    <n v="2"/>
    <s v="1 minute"/>
    <n v="0"/>
    <s v="Personnel"/>
    <s v="Utilitaire"/>
    <x v="0"/>
    <s v="&gt;Vous êtes capable de detecter toute forme d'intelligence à 18 cases. Vous pouvez determiner le nombre et pour chacun s'il dispose d'un Aspect, mais vous ne pouvez pas determiner leur position."/>
  </r>
  <r>
    <s v="Boule de feu"/>
    <x v="1"/>
    <x v="0"/>
    <x v="0"/>
    <n v="8"/>
    <s v="action"/>
    <n v="0"/>
    <s v="18 cases"/>
    <s v="Dégats"/>
    <x v="0"/>
    <s v="&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
  </r>
  <r>
    <s v="Manteau de flamme"/>
    <x v="1"/>
    <x v="1"/>
    <x v="0"/>
    <n v="6"/>
    <s v="action"/>
    <n v="1"/>
    <s v="Personnel"/>
    <s v="Dégats"/>
    <x v="0"/>
    <s v="&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
  </r>
  <r>
    <m/>
    <x v="1"/>
    <x v="3"/>
    <x v="0"/>
    <m/>
    <m/>
    <n v="0"/>
    <m/>
    <s v="Debuff"/>
    <x v="1"/>
    <m/>
  </r>
  <r>
    <m/>
    <x v="1"/>
    <x v="3"/>
    <x v="0"/>
    <m/>
    <m/>
    <n v="0"/>
    <m/>
    <s v="Utilitaire"/>
    <x v="1"/>
    <m/>
  </r>
  <r>
    <m/>
    <x v="1"/>
    <x v="3"/>
    <x v="0"/>
    <m/>
    <m/>
    <n v="0"/>
    <m/>
    <s v="Support"/>
    <x v="1"/>
    <m/>
  </r>
  <r>
    <s v="Lance de givre"/>
    <x v="1"/>
    <x v="1"/>
    <x v="1"/>
    <n v="3"/>
    <s v="action"/>
    <n v="0"/>
    <s v="Toucher"/>
    <s v="Buff"/>
    <x v="0"/>
    <s v="&gt;Une lame de glace vient grandir le long d'une arme que vous touchez. Augmente la portée de l'arme d'une case. L'extension inflige des dégâts tranchants. Dure 1 min, casse après 8 coups **réussis**."/>
  </r>
  <r>
    <s v="Cône de givre"/>
    <x v="1"/>
    <x v="0"/>
    <x v="1"/>
    <n v="8"/>
    <s v="action"/>
    <n v="0"/>
    <s v="12 cases"/>
    <s v="Dégats"/>
    <x v="0"/>
    <s v="&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
  </r>
  <r>
    <s v="Gel encombrant"/>
    <x v="1"/>
    <x v="2"/>
    <x v="1"/>
    <n v="5"/>
    <s v="action"/>
    <n v="0"/>
    <s v="3 cases"/>
    <s v="Debuff"/>
    <x v="0"/>
    <s v="&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
  </r>
  <r>
    <m/>
    <x v="1"/>
    <x v="3"/>
    <x v="1"/>
    <m/>
    <m/>
    <n v="0"/>
    <m/>
    <s v="Tank"/>
    <x v="1"/>
    <m/>
  </r>
  <r>
    <s v="Piège de cristal"/>
    <x v="1"/>
    <x v="1"/>
    <x v="1"/>
    <n v="6"/>
    <s v="action"/>
    <n v="0"/>
    <s v="12 cases"/>
    <s v="Dégats"/>
    <x v="0"/>
    <s v="&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
  </r>
  <r>
    <s v="Téléportation"/>
    <x v="1"/>
    <x v="2"/>
    <x v="2"/>
    <n v="4"/>
    <s v="action"/>
    <n v="0"/>
    <s v="Personnel"/>
    <s v="Mouvement"/>
    <x v="0"/>
    <s v="&gt;Se téléporte à un point visible à 9 cases max."/>
  </r>
  <r>
    <s v="Foudroiement"/>
    <x v="1"/>
    <x v="0"/>
    <x v="2"/>
    <n v="8"/>
    <s v="action"/>
    <n v="0"/>
    <s v="Personnel"/>
    <s v="Dégats"/>
    <x v="0"/>
    <s v="&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
  </r>
  <r>
    <m/>
    <x v="1"/>
    <x v="3"/>
    <x v="2"/>
    <m/>
    <m/>
    <n v="0"/>
    <m/>
    <s v="Buff"/>
    <x v="1"/>
    <m/>
  </r>
  <r>
    <s v="Choc auditif"/>
    <x v="1"/>
    <x v="2"/>
    <x v="2"/>
    <n v="4"/>
    <s v="action"/>
    <n v="0"/>
    <s v="6 cases"/>
    <s v="Debuff"/>
    <x v="0"/>
    <s v="&gt;Désignez une zone de 2 cases de rayon. Toutes personne dans la zone doit réussir un jet de résistance (d10/6 + mod. de psyché) de constitution ou devient sourd pendant 2 tours."/>
  </r>
  <r>
    <s v="Aura statique"/>
    <x v="1"/>
    <x v="1"/>
    <x v="2"/>
    <n v="6"/>
    <s v="action"/>
    <n v="1"/>
    <s v="Personnel"/>
    <s v="Dégats"/>
    <x v="0"/>
    <s v="&gt;Génère un champ de foudre statique autour de vous pendant 1 minute. Toute personne qui cours à 2 cases de vous reçoit un choc électrique de 1d6[[2. Glossaire#Jet explosif|!]] dégâts de [[4. Les types de dégâts#Foudre|foudre]]."/>
  </r>
  <r>
    <s v="Lame de roc"/>
    <x v="1"/>
    <x v="1"/>
    <x v="3"/>
    <n v="5"/>
    <s v="action"/>
    <n v="1"/>
    <s v="6 cases"/>
    <s v="Support"/>
    <x v="0"/>
    <s v="&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
  </r>
  <r>
    <s v="Torgnole rocailleuse"/>
    <x v="1"/>
    <x v="0"/>
    <x v="3"/>
    <n v="4"/>
    <s v="action"/>
    <n v="0"/>
    <s v="Personnel"/>
    <s v="Buff"/>
    <x v="0"/>
    <s v="&gt; Durant 1 minute, vos [[4. Équipement#Les armes naturelles|armes naturelles]] se recouvrent de roches, infligeant des dégâts supplémentaires égal à votre mod. d'intelligence. A chaque coup porté (réussi comme raté), les dégâts décroient d'un point jusqu'à arrivée à 0."/>
  </r>
  <r>
    <m/>
    <x v="1"/>
    <x v="3"/>
    <x v="3"/>
    <m/>
    <m/>
    <n v="0"/>
    <m/>
    <s v="Debuff"/>
    <x v="1"/>
    <m/>
  </r>
  <r>
    <m/>
    <x v="1"/>
    <x v="3"/>
    <x v="3"/>
    <m/>
    <m/>
    <n v="0"/>
    <m/>
    <s v="Support"/>
    <x v="1"/>
    <m/>
  </r>
  <r>
    <m/>
    <x v="1"/>
    <x v="3"/>
    <x v="3"/>
    <m/>
    <m/>
    <n v="0"/>
    <m/>
    <s v="Mouvement"/>
    <x v="1"/>
    <m/>
  </r>
  <r>
    <s v="Faiblesse d'éther"/>
    <x v="1"/>
    <x v="2"/>
    <x v="4"/>
    <n v="5"/>
    <s v="action"/>
    <n v="0"/>
    <s v="6 cases"/>
    <s v="Debuff"/>
    <x v="0"/>
    <s v="&gt; Votre cible doit faire un [[3. Résistance aux chocs#Le jet de résistance|jet de résistance]] (d4/3 + mod. d'[[1. Entrainement#L'intelligence|intelligence]]) à l'[[2. Liste des effets#Influencé|influence]]. En cas d'échec, elle perds 2d4[[2. Glossaire#Jet explosif|!]] mana."/>
  </r>
  <r>
    <s v="Télékinésie"/>
    <x v="1"/>
    <x v="1"/>
    <x v="4"/>
    <n v="3"/>
    <s v="action"/>
    <n v="1"/>
    <s v="6 cases"/>
    <s v="Utilitaire"/>
    <x v="0"/>
    <s v="&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
  </r>
  <r>
    <s v="Enchantement dense"/>
    <x v="1"/>
    <x v="1"/>
    <x v="4"/>
    <n v="3"/>
    <s v="action"/>
    <n v="0"/>
    <s v="Personnel"/>
    <s v="Buff"/>
    <x v="0"/>
    <s v="&gt; Condense de l'énergie magique dans toutes les arme ou projectiles sur vous. Vous faites une attaque immédiatement après avoir lancé ce sort sans dépenser d'action, avec chaque arme infligeant 1d8 dégâts supplémentaire. Les dégâts de l'arme deviennent magique."/>
  </r>
  <r>
    <s v="Enchantement tenace"/>
    <x v="1"/>
    <x v="1"/>
    <x v="4"/>
    <n v="4"/>
    <s v="action"/>
    <n v="0"/>
    <s v="Personnel"/>
    <s v="Buff"/>
    <x v="0"/>
    <s v="&gt; Condense de l'énergie magique dans une arme sur vous *jusqu'à la fin de votre prochain tour*. Vous faites une attaque immédiatement après avoir lancé ce sort sans dépenser d'action, infligeant 1d8 dégâts supplémentaire. Les dégâts de l'arme deviennent magique."/>
  </r>
  <r>
    <m/>
    <x v="1"/>
    <x v="0"/>
    <x v="4"/>
    <m/>
    <m/>
    <n v="0"/>
    <m/>
    <s v="Support"/>
    <x v="1"/>
    <m/>
  </r>
  <r>
    <m/>
    <x v="1"/>
    <x v="0"/>
    <x v="4"/>
    <m/>
    <m/>
    <n v="0"/>
    <m/>
    <s v="Dégats"/>
    <x v="1"/>
    <m/>
  </r>
  <r>
    <s v="Partage d'esprit"/>
    <x v="1"/>
    <x v="1"/>
    <x v="4"/>
    <n v="5"/>
    <s v="action"/>
    <n v="1"/>
    <s v="3 cases"/>
    <s v="Support"/>
    <x v="0"/>
    <s v="&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
  </r>
  <r>
    <s v="Air chaotique"/>
    <x v="1"/>
    <x v="1"/>
    <x v="5"/>
    <n v="7"/>
    <s v="action"/>
    <n v="1"/>
    <s v="9 cases"/>
    <s v="Debuff"/>
    <x v="0"/>
    <s v="&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
  </r>
  <r>
    <s v="Bénédiction des vents"/>
    <x v="1"/>
    <x v="0"/>
    <x v="5"/>
    <n v="4"/>
    <s v="action"/>
    <n v="0"/>
    <s v="3 cases"/>
    <s v="Buff"/>
    <x v="0"/>
    <s v="&gt; Vous bénissez temporairement un arc avec la magie des vents pour les 3 prochaines attaques. Les flèches tirée par cet arc ont une vélocité accrue, les portée sont doublée et vous avez un bonus de +2 pour toucher à moyenne distance."/>
  </r>
  <r>
    <s v="Pression descendante"/>
    <x v="1"/>
    <x v="0"/>
    <x v="5"/>
    <n v="5"/>
    <s v="action"/>
    <n v="0"/>
    <s v="18 cases"/>
    <s v="Mouvement"/>
    <x v="0"/>
    <s v="&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
  </r>
  <r>
    <s v="Bourrasque opposante"/>
    <x v="1"/>
    <x v="2"/>
    <x v="5"/>
    <n v="4"/>
    <s v="reaction"/>
    <n v="0"/>
    <s v="Personnel"/>
    <s v="Tank"/>
    <x v="0"/>
    <s v="&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
  </r>
  <r>
    <m/>
    <x v="1"/>
    <x v="3"/>
    <x v="5"/>
    <m/>
    <m/>
    <n v="0"/>
    <m/>
    <s v="Dégats"/>
    <x v="1"/>
    <m/>
  </r>
  <r>
    <s v="Epuisement spontané"/>
    <x v="1"/>
    <x v="1"/>
    <x v="6"/>
    <n v="6"/>
    <s v="action"/>
    <n v="0"/>
    <s v="3 cases"/>
    <s v="Debuff"/>
    <x v="0"/>
    <s v="&gt;Votre cible doit faire un [[3. Résistance aux chocs#Le jet de résistance|jet de résistance]] (d8/5 + mod. d'[[1. Entrainement#L'intelligence|intelligence]]) aux [[1. Magie#Les sorts de savoir|sorts de savoir]]. En cas d'échec, elle subit un point de [[3. Fatigue et repos#Fatigue temporaire|fatigue temporaire]]."/>
  </r>
  <r>
    <s v="Echange d'énergie supérieur"/>
    <x v="1"/>
    <x v="2"/>
    <x v="6"/>
    <n v="5"/>
    <s v="reaction"/>
    <n v="0"/>
    <s v="Toucher"/>
    <s v="Support"/>
    <x v="0"/>
    <s v="&gt; Vous récupérez un point de [[3. Fatigue et repos#Fatigue persistante|fatigue persistante]] de votre cible."/>
  </r>
  <r>
    <m/>
    <x v="1"/>
    <x v="3"/>
    <x v="6"/>
    <m/>
    <m/>
    <n v="0"/>
    <m/>
    <s v="Utilitaire"/>
    <x v="1"/>
    <m/>
  </r>
  <r>
    <m/>
    <x v="1"/>
    <x v="3"/>
    <x v="6"/>
    <m/>
    <m/>
    <n v="0"/>
    <m/>
    <s v="Buff"/>
    <x v="1"/>
    <m/>
  </r>
  <r>
    <s v="Vision dans le noir"/>
    <x v="1"/>
    <x v="1"/>
    <x v="7"/>
    <n v="4"/>
    <s v="action"/>
    <n v="0"/>
    <s v="Personnel"/>
    <s v="Utilitaire"/>
    <x v="0"/>
    <s v="&gt; Vous gagnez pendant 1 minute une vision dans le noir à 12 cases."/>
  </r>
  <r>
    <m/>
    <x v="1"/>
    <x v="3"/>
    <x v="7"/>
    <m/>
    <m/>
    <n v="0"/>
    <m/>
    <s v="Dégats"/>
    <x v="1"/>
    <m/>
  </r>
  <r>
    <m/>
    <x v="1"/>
    <x v="3"/>
    <x v="7"/>
    <m/>
    <m/>
    <n v="0"/>
    <m/>
    <s v="Utilitaire"/>
    <x v="3"/>
    <m/>
  </r>
  <r>
    <m/>
    <x v="1"/>
    <x v="3"/>
    <x v="7"/>
    <m/>
    <m/>
    <n v="0"/>
    <m/>
    <s v="Buff"/>
    <x v="1"/>
    <m/>
  </r>
  <r>
    <s v="Apaisement"/>
    <x v="1"/>
    <x v="1"/>
    <x v="8"/>
    <n v="3"/>
    <s v="action"/>
    <n v="0"/>
    <s v="Personnel"/>
    <s v="Support"/>
    <x v="0"/>
    <s v="&gt;En touchant la cible, guérit l'influence, le charme et la peur, mais inflige un malus de -1 aux jets de résistance de défense pour ces effets durant 3 tours."/>
  </r>
  <r>
    <s v="Painshock"/>
    <x v="1"/>
    <x v="2"/>
    <x v="8"/>
    <n v="6"/>
    <s v="action"/>
    <n v="0"/>
    <s v="Toucher"/>
    <s v="Debuff"/>
    <x v="0"/>
    <s v="&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
  </r>
  <r>
    <s v="Perturbateur"/>
    <x v="1"/>
    <x v="2"/>
    <x v="8"/>
    <n v="4"/>
    <s v="reaction"/>
    <n v="0"/>
    <s v="Toucher"/>
    <s v="Debuff"/>
    <x v="0"/>
    <s v="&gt;Vous pouvez perturber les flux magiques d'un lanceur de sort que vous voyez à 9 cases pour lui imposer un malus de 3 à son lancer de sort en cours."/>
  </r>
  <r>
    <m/>
    <x v="1"/>
    <x v="3"/>
    <x v="8"/>
    <m/>
    <m/>
    <n v="0"/>
    <m/>
    <s v="Dégats"/>
    <x v="1"/>
    <m/>
  </r>
  <r>
    <m/>
    <x v="2"/>
    <x v="3"/>
    <x v="0"/>
    <m/>
    <m/>
    <n v="0"/>
    <m/>
    <s v="Buff"/>
    <x v="1"/>
    <m/>
  </r>
  <r>
    <m/>
    <x v="2"/>
    <x v="3"/>
    <x v="0"/>
    <m/>
    <m/>
    <n v="0"/>
    <m/>
    <s v="Dégats"/>
    <x v="1"/>
    <m/>
  </r>
  <r>
    <s v="Tourbillon de braise"/>
    <x v="2"/>
    <x v="1"/>
    <x v="0"/>
    <n v="6"/>
    <s v="action"/>
    <n v="0"/>
    <s v="9 cases"/>
    <s v="Dégats"/>
    <x v="0"/>
    <s v="&gt;Fait apparaitre une tornade de braises ardente de 2 cases de rayon. Chaque tour, vous pouvez la faire bouger de 2 cases pour 1 point d'action. Toute personne commençant son tour dans la tornade subit 2d8 dégâts de feu."/>
  </r>
  <r>
    <s v="Armure frigorifique"/>
    <x v="2"/>
    <x v="0"/>
    <x v="1"/>
    <n v="5"/>
    <s v="action"/>
    <n v="0"/>
    <s v="9 cases"/>
    <s v="Tank"/>
    <x v="0"/>
    <s v="&gt;Vous offrez une [[4. Les types de dégâts#Résistances et vulnérabilités|résistance]] au [[4. Les types de dégâts#Feu|feu]] ainsi qu'une armure de 20 PV (-5 PV) à votre cible. Votre cible voit sa vitesse de course réduite de 2 cases."/>
  </r>
  <r>
    <s v="Tempête de givre"/>
    <x v="2"/>
    <x v="1"/>
    <x v="1"/>
    <n v="6"/>
    <s v="action"/>
    <n v="1"/>
    <s v="6 cases"/>
    <s v="Debuff"/>
    <x v="0"/>
    <s v="&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
  </r>
  <r>
    <s v="Engourdissement"/>
    <x v="2"/>
    <x v="2"/>
    <x v="1"/>
    <n v="5"/>
    <s v="action"/>
    <n v="0"/>
    <s v="6 cases"/>
    <s v="Debuff"/>
    <x v="0"/>
    <s v="&gt;La cible doit faire un [[3. Résistance aux chocs#Le jet de résistance|jet de résistance]] (d10/6 + mod. de [[1. Entrainement#La psyché|psyché]]) aux [[1. Magie#Les sorts instinctif|sorts d'instinct]], divisant sa vitesse par 2 et lui imposant un malus de 3 pour attaquer avec des armes en cas d'échec."/>
  </r>
  <r>
    <s v="Permutation"/>
    <x v="2"/>
    <x v="2"/>
    <x v="2"/>
    <n v="5"/>
    <s v="reaction"/>
    <n v="0"/>
    <s v="6 cases"/>
    <s v="Mouvement"/>
    <x v="0"/>
    <s v="&gt;Vous et votre cible permutez de place. Si votre cible n'est pas consentante, elle peut réussir un [[3. Résistance aux chocs#Le jet de résistance|jet de résistance]] (d10/6 + mod. de [[1. Entrainement#La psyché|psyché]]) de [[1. Entrainement#La psyché|psyché]] pour ne pas être permuter."/>
  </r>
  <r>
    <s v="Foudroiement energetique"/>
    <x v="2"/>
    <x v="1"/>
    <x v="2"/>
    <n v="7"/>
    <s v="action"/>
    <n v="1"/>
    <s v="Toucher"/>
    <s v="Buff"/>
    <x v="0"/>
    <s v="&gt;Durant 1 minute, la cible touchée gagne un point d'action. Cependant, elle subit 2d4[[2. Glossaire#Jet explosif|!]] dégâts de [[4. Les types de dégâts#Foudre|foudre]] en le dépensant."/>
  </r>
  <r>
    <s v="Orbe de chaos"/>
    <x v="2"/>
    <x v="0"/>
    <x v="2"/>
    <n v="9"/>
    <s v="action"/>
    <n v="0"/>
    <s v="12 cases"/>
    <s v="Dégats"/>
    <x v="0"/>
    <s v="&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
  </r>
  <r>
    <s v="Erection de matière"/>
    <x v="2"/>
    <x v="1"/>
    <x v="3"/>
    <n v="8"/>
    <s v="action"/>
    <n v="1"/>
    <s v="9 cases"/>
    <s v="Dégats"/>
    <x v="0"/>
    <s v="&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
  </r>
  <r>
    <m/>
    <x v="2"/>
    <x v="3"/>
    <x v="3"/>
    <m/>
    <m/>
    <n v="0"/>
    <m/>
    <s v="Support"/>
    <x v="1"/>
    <m/>
  </r>
  <r>
    <s v="Densité tranchante"/>
    <x v="2"/>
    <x v="0"/>
    <x v="3"/>
    <n v="8"/>
    <s v="action"/>
    <n v="0"/>
    <s v="9 cases"/>
    <s v="Dégats"/>
    <x v="0"/>
    <s v="&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
  </r>
  <r>
    <s v="Protection suprême"/>
    <x v="2"/>
    <x v="1"/>
    <x v="3"/>
    <n v="6"/>
    <s v="action"/>
    <n v="0"/>
    <s v="Personnel"/>
    <s v="Tank"/>
    <x v="0"/>
    <s v="&gt;Vous vous entourez d'une imposante carapace de roche réactive qui absorbe les chocs. Vous gagnez une armure temporaire de 25PV (-5PV) pendant 2 tours. Subir un coup critique détruit l'armure mais annule l'effet critique."/>
  </r>
  <r>
    <m/>
    <x v="2"/>
    <x v="0"/>
    <x v="4"/>
    <m/>
    <s v="action"/>
    <n v="0"/>
    <m/>
    <s v="Utilitaire"/>
    <x v="1"/>
    <m/>
  </r>
  <r>
    <s v="Mutisme"/>
    <x v="2"/>
    <x v="1"/>
    <x v="4"/>
    <n v="7"/>
    <s v="action"/>
    <n v="1"/>
    <s v="6 cases"/>
    <s v="Support"/>
    <x v="0"/>
    <s v="&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
  </r>
  <r>
    <s v="Magie volée"/>
    <x v="2"/>
    <x v="1"/>
    <x v="4"/>
    <n v="6"/>
    <s v="action"/>
    <n v="0"/>
    <s v="Personnel"/>
    <s v="Buff"/>
    <x v="0"/>
    <s v="&gt;Durant 3 tours, chaque fois que vous êtes explicitement cibler par un sort (hors effet de zone), vous gagnez un nombre de mana égal à la moitié du mana dépensé."/>
  </r>
  <r>
    <s v="Rejet pur"/>
    <x v="2"/>
    <x v="1"/>
    <x v="4"/>
    <m/>
    <s v="action"/>
    <n v="0"/>
    <s v="3 cases"/>
    <s v="Dégats"/>
    <x v="0"/>
    <s v="&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
  </r>
  <r>
    <s v="Disruption"/>
    <x v="2"/>
    <x v="2"/>
    <x v="4"/>
    <n v="5"/>
    <s v="action"/>
    <n v="0"/>
    <s v="6 cases"/>
    <s v="Debuff"/>
    <x v="0"/>
    <s v="&gt;Faites un jet d'attaque avec la [[1. Entrainement#La psyché|psyché]]. Vous imposez un jet de concentration à une cible que vous voyez. La difficulté est de 4d6+4."/>
  </r>
  <r>
    <m/>
    <x v="2"/>
    <x v="1"/>
    <x v="5"/>
    <n v="5"/>
    <s v="action"/>
    <n v="1"/>
    <s v="Toucher"/>
    <s v="Mouvement"/>
    <x v="0"/>
    <s v="&gt;Vous octroyez une vitesse de vol de 6 cases."/>
  </r>
  <r>
    <s v="Redirection"/>
    <x v="2"/>
    <x v="2"/>
    <x v="5"/>
    <n v="3"/>
    <s v="reaction"/>
    <n v="0"/>
    <s v="3 cases"/>
    <s v="Support"/>
    <x v="0"/>
    <s v="&gt;Vous repoussez un projectile physique ou magique de rang 1 qui passe à 3 cases de vous vers l'attaquant d'origine."/>
  </r>
  <r>
    <m/>
    <x v="2"/>
    <x v="0"/>
    <x v="5"/>
    <m/>
    <m/>
    <n v="0"/>
    <m/>
    <s v="Buff"/>
    <x v="1"/>
    <m/>
  </r>
  <r>
    <s v="Epuisement répété"/>
    <x v="2"/>
    <x v="2"/>
    <x v="6"/>
    <n v="6"/>
    <s v="action"/>
    <n v="0"/>
    <s v="6 cases"/>
    <s v="Dégats"/>
    <x v="0"/>
    <s v="&gt;Faites un jet d'attaque avec la [[1. Entrainement#La psyché|psyché]]. Vous infligez 1d6 point de dégâts [[4. Les types de dégâts#Neutre|magique]] par [[3. Fatigue et repos#La fatigue|point de fatigue]] de la cible."/>
  </r>
  <r>
    <m/>
    <x v="2"/>
    <x v="3"/>
    <x v="6"/>
    <m/>
    <m/>
    <n v="0"/>
    <m/>
    <s v="Support"/>
    <x v="1"/>
    <m/>
  </r>
  <r>
    <m/>
    <x v="2"/>
    <x v="3"/>
    <x v="6"/>
    <m/>
    <m/>
    <n v="0"/>
    <m/>
    <s v="Debuff"/>
    <x v="1"/>
    <m/>
  </r>
  <r>
    <m/>
    <x v="2"/>
    <x v="2"/>
    <x v="7"/>
    <m/>
    <m/>
    <n v="0"/>
    <m/>
    <s v="Utilitaire"/>
    <x v="4"/>
    <m/>
  </r>
  <r>
    <m/>
    <x v="2"/>
    <x v="3"/>
    <x v="7"/>
    <m/>
    <m/>
    <n v="0"/>
    <m/>
    <s v="Utilitaire"/>
    <x v="1"/>
    <m/>
  </r>
  <r>
    <s v="Anomalie immaculée"/>
    <x v="2"/>
    <x v="1"/>
    <x v="7"/>
    <n v="6"/>
    <s v="action"/>
    <n v="0"/>
    <s v="3 cases"/>
    <s v="Dégats"/>
    <x v="0"/>
    <s v="&gt; Place une anomalie visuelle à 3 cases émettant une [[6. Visibilité et lumière#Lumière intense|lumière vive]] à 9 cases. Lorsqu'un être vivant rentre en contact avec l'anomalie, il absorbe toute l'énergie magique et subit 4d8 points de dégâts magique"/>
  </r>
  <r>
    <s v="Inexistance"/>
    <x v="2"/>
    <x v="2"/>
    <x v="8"/>
    <n v="5"/>
    <s v="action"/>
    <n v="0"/>
    <s v="3 cases"/>
    <s v="Debuff"/>
    <x v="0"/>
    <s v="&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
  </r>
  <r>
    <m/>
    <x v="2"/>
    <x v="3"/>
    <x v="8"/>
    <m/>
    <m/>
    <n v="0"/>
    <m/>
    <s v="Dégats"/>
    <x v="1"/>
    <m/>
  </r>
  <r>
    <m/>
    <x v="2"/>
    <x v="3"/>
    <x v="8"/>
    <m/>
    <m/>
    <n v="0"/>
    <m/>
    <s v="Support"/>
    <x v="1"/>
    <m/>
  </r>
  <r>
    <m/>
    <x v="0"/>
    <x v="3"/>
    <x v="0"/>
    <m/>
    <s v="canalisation"/>
    <n v="0"/>
    <m/>
    <m/>
    <x v="1"/>
    <m/>
  </r>
  <r>
    <m/>
    <x v="0"/>
    <x v="3"/>
    <x v="1"/>
    <m/>
    <s v="canalisation"/>
    <n v="0"/>
    <m/>
    <m/>
    <x v="1"/>
    <m/>
  </r>
  <r>
    <s v="Surcharge statique"/>
    <x v="0"/>
    <x v="1"/>
    <x v="2"/>
    <n v="4"/>
    <s v="canalisation"/>
    <n v="1"/>
    <s v="Personnel"/>
    <s v="Buff"/>
    <x v="0"/>
    <s v="&gt;Vous accumulez une charge éléctrique croissante. A la fin de la canalisation, vous gagnez un point de réaction utilisable pour lancer des sorts, et vos attaques de foudre ont avantage aux dégâts durant 1 minute."/>
  </r>
  <r>
    <s v="Frappe sismique"/>
    <x v="0"/>
    <x v="0"/>
    <x v="3"/>
    <n v="3"/>
    <s v="canalisation"/>
    <n v="0"/>
    <s v="Personnel"/>
    <s v="Buff"/>
    <x v="0"/>
    <s v="&gt;A la fin de la canalisation, vous pouvez frapper avec une arme naturelle tout ennemi **au sol** à 6 cases de vous comme si vous êtiez au corps à corps, en faisant jaillir des piliers de roche."/>
  </r>
  <r>
    <s v="Lame etherée"/>
    <x v="0"/>
    <x v="2"/>
    <x v="4"/>
    <n v="4"/>
    <s v="canalisation"/>
    <n v="0"/>
    <s v="6 cases"/>
    <s v="Support"/>
    <x v="0"/>
    <s v="&gt;Vous invoquez une arme etherée reprenant la forme d'une arme non magique que vous voulez durant 5 tours. Cette dernière inflige les dégâts de l'arme choisie plus un dé de dégâts supplémentaire. Vous pouvez changer la forme de l'arme avec une action libre."/>
  </r>
  <r>
    <m/>
    <x v="0"/>
    <x v="3"/>
    <x v="5"/>
    <m/>
    <s v="canalisation"/>
    <n v="0"/>
    <m/>
    <m/>
    <x v="1"/>
    <m/>
  </r>
  <r>
    <m/>
    <x v="0"/>
    <x v="3"/>
    <x v="6"/>
    <m/>
    <s v="canalisation"/>
    <n v="0"/>
    <m/>
    <m/>
    <x v="1"/>
    <m/>
  </r>
  <r>
    <m/>
    <x v="0"/>
    <x v="3"/>
    <x v="7"/>
    <m/>
    <s v="canalisation"/>
    <n v="0"/>
    <m/>
    <m/>
    <x v="1"/>
    <m/>
  </r>
  <r>
    <m/>
    <x v="0"/>
    <x v="3"/>
    <x v="8"/>
    <m/>
    <s v="canalisation"/>
    <n v="0"/>
    <m/>
    <m/>
    <x v="1"/>
    <m/>
  </r>
  <r>
    <s v="Cataclysme solaire"/>
    <x v="1"/>
    <x v="0"/>
    <x v="0"/>
    <n v="7"/>
    <s v="canalisation"/>
    <n v="0"/>
    <s v="Personnel"/>
    <s v="Dégats"/>
    <x v="0"/>
    <s v="&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
  </r>
  <r>
    <m/>
    <x v="1"/>
    <x v="0"/>
    <x v="1"/>
    <n v="5"/>
    <s v="canalisation"/>
    <n v="0"/>
    <s v="9 cases"/>
    <s v="Tank"/>
    <x v="0"/>
    <s v="&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
  </r>
  <r>
    <m/>
    <x v="1"/>
    <x v="2"/>
    <x v="2"/>
    <n v="4"/>
    <s v="canalisation"/>
    <n v="0"/>
    <s v="6 cases"/>
    <s v="Buff"/>
    <x v="0"/>
    <s v="&gt;Tant que vous canalisez et que vous depensez du mana pour canaliser, une arme à portée inflige 1 dé de dégats supplémentaire, les dés deviennent explosifs et infligent des dégâts de foudre."/>
  </r>
  <r>
    <s v="Ancrage protecteur"/>
    <x v="1"/>
    <x v="1"/>
    <x v="3"/>
    <n v="4"/>
    <s v="canalisation"/>
    <n v="0"/>
    <s v="Personnel"/>
    <s v="Tank"/>
    <x v="0"/>
    <s v="&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
  </r>
  <r>
    <s v="Amalgame d'arcane"/>
    <x v="1"/>
    <x v="1"/>
    <x v="4"/>
    <n v="6"/>
    <s v="canalisation"/>
    <n v="0"/>
    <s v="6 cases"/>
    <s v="Support"/>
    <x v="0"/>
    <s v="&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
  </r>
  <r>
    <m/>
    <x v="1"/>
    <x v="3"/>
    <x v="5"/>
    <m/>
    <s v="canalisation"/>
    <n v="0"/>
    <m/>
    <m/>
    <x v="1"/>
    <m/>
  </r>
  <r>
    <s v="Permutation d'energie"/>
    <x v="1"/>
    <x v="2"/>
    <x v="6"/>
    <n v="6"/>
    <s v="canalisation"/>
    <n v="0"/>
    <s v="3 cases"/>
    <s v="Debuff"/>
    <x v="0"/>
    <s v="&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
  </r>
  <r>
    <s v="Pureté aveuglante"/>
    <x v="1"/>
    <x v="2"/>
    <x v="7"/>
    <n v="7"/>
    <s v="canalisation"/>
    <n v="0"/>
    <s v="6 cases"/>
    <s v="Support"/>
    <x v="0"/>
    <s v="&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
  </r>
  <r>
    <m/>
    <x v="1"/>
    <x v="3"/>
    <x v="8"/>
    <m/>
    <s v="canalisation"/>
    <n v="0"/>
    <m/>
    <m/>
    <x v="1"/>
    <m/>
  </r>
  <r>
    <m/>
    <x v="2"/>
    <x v="3"/>
    <x v="0"/>
    <m/>
    <s v="canalisation"/>
    <n v="0"/>
    <m/>
    <m/>
    <x v="1"/>
    <m/>
  </r>
  <r>
    <m/>
    <x v="2"/>
    <x v="3"/>
    <x v="1"/>
    <m/>
    <s v="canalisation"/>
    <n v="0"/>
    <m/>
    <m/>
    <x v="1"/>
    <m/>
  </r>
  <r>
    <m/>
    <x v="2"/>
    <x v="3"/>
    <x v="2"/>
    <m/>
    <s v="canalisation"/>
    <n v="0"/>
    <m/>
    <m/>
    <x v="1"/>
    <m/>
  </r>
  <r>
    <m/>
    <x v="2"/>
    <x v="3"/>
    <x v="3"/>
    <m/>
    <s v="canalisation"/>
    <n v="0"/>
    <m/>
    <m/>
    <x v="1"/>
    <m/>
  </r>
  <r>
    <s v="Sappage d'éther"/>
    <x v="2"/>
    <x v="1"/>
    <x v="4"/>
    <n v="3"/>
    <s v="canalisation"/>
    <n v="0"/>
    <s v="Personnel"/>
    <s v="Buff"/>
    <x v="0"/>
    <s v="&gt;Tant que vous canalisez, chaque sort lancé à 12 cases voit son coût augmenté de 2 mana, que vous récupérez."/>
  </r>
  <r>
    <s v="Mur tempétueux"/>
    <x v="2"/>
    <x v="1"/>
    <x v="5"/>
    <n v="5"/>
    <s v="canalisation"/>
    <n v="1"/>
    <s v="6 cases"/>
    <s v="Support"/>
    <x v="1"/>
    <s v="&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
  </r>
  <r>
    <m/>
    <x v="2"/>
    <x v="2"/>
    <x v="6"/>
    <n v="8"/>
    <s v="canalisation"/>
    <n v="0"/>
    <s v="Toucher"/>
    <s v="Support"/>
    <x v="0"/>
    <s v="&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
  </r>
  <r>
    <s v="Lumière mortelle"/>
    <x v="2"/>
    <x v="0"/>
    <x v="7"/>
    <n v="8"/>
    <s v="canalisation"/>
    <n v="0"/>
    <s v="Personnel"/>
    <s v="Dégats"/>
    <x v="0"/>
    <s v="&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
  </r>
  <r>
    <s v="Deconnexion mentale"/>
    <x v="2"/>
    <x v="2"/>
    <x v="8"/>
    <n v="9"/>
    <s v="canalisation"/>
    <n v="0"/>
    <s v="Personnel"/>
    <s v="Buff"/>
    <x v="0"/>
    <s v="&gt;A la fin de la canalisation, vous parvenez à extraire votre Aspect de votre propre esprit pour le manifester sans vous transformer durant 1 minute. Vous prenez sa fiche de stat de créature et le jouez. Cependant, vous ne pouvez plus utiliser de magie jusqu'à sa dispari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81A93E-4511-4704-AE91-88657B8D22FB}" name="Tableau croisé dynamique2"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13:J2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showAll="0"/>
    <pivotField axis="axisCol" showAll="0">
      <items count="4">
        <item x="1"/>
        <item x="2"/>
        <item x="0"/>
        <item t="default"/>
      </items>
    </pivotField>
    <pivotField showAll="0"/>
    <pivotField showAll="0"/>
    <pivotField showAll="0"/>
    <pivotField showAll="0"/>
    <pivotField showAll="0"/>
  </pivotFields>
  <rowFields count="1">
    <field x="13"/>
  </rowFields>
  <rowItems count="7">
    <i>
      <x/>
    </i>
    <i>
      <x v="1"/>
    </i>
    <i>
      <x v="2"/>
    </i>
    <i>
      <x v="3"/>
    </i>
    <i>
      <x v="4"/>
    </i>
    <i>
      <x v="5"/>
    </i>
    <i>
      <x v="6"/>
    </i>
  </rowItems>
  <colFields count="1">
    <field x="16"/>
  </colFields>
  <colItems count="3">
    <i>
      <x/>
    </i>
    <i>
      <x v="1"/>
    </i>
    <i>
      <x v="2"/>
    </i>
  </colItems>
  <dataFields count="1">
    <dataField name="Nombre" fld="13" subtotal="count" baseField="0" baseItem="0"/>
  </dataFields>
  <formats count="8">
    <format dxfId="39">
      <pivotArea type="all" dataOnly="0" outline="0" fieldPosition="0"/>
    </format>
    <format dxfId="38">
      <pivotArea outline="0" collapsedLevelsAreSubtotals="1" fieldPosition="0"/>
    </format>
    <format dxfId="37">
      <pivotArea type="origin" dataOnly="0" labelOnly="1" outline="0" fieldPosition="0"/>
    </format>
    <format dxfId="36">
      <pivotArea field="16" type="button" dataOnly="0" labelOnly="1" outline="0" axis="axisCol" fieldPosition="0"/>
    </format>
    <format dxfId="35">
      <pivotArea type="topRight" dataOnly="0" labelOnly="1" outline="0" fieldPosition="0"/>
    </format>
    <format dxfId="34">
      <pivotArea field="13" type="button" dataOnly="0" labelOnly="1" outline="0" axis="axisRow" fieldPosition="0"/>
    </format>
    <format dxfId="33">
      <pivotArea dataOnly="0" labelOnly="1" fieldPosition="0">
        <references count="1">
          <reference field="13" count="0"/>
        </references>
      </pivotArea>
    </format>
    <format dxfId="32">
      <pivotArea dataOnly="0" labelOnly="1" fieldPosition="0">
        <references count="1">
          <reference field="16"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BF6940-E523-4120-86BF-8B445518EE93}" name="Tableau croisé dynamique4" cacheId="1" applyNumberFormats="0" applyBorderFormats="0" applyFontFormats="0" applyPatternFormats="0" applyAlignmentFormats="0" applyWidthHeightFormats="1" dataCaption="Valeurs" updatedVersion="8" minRefreshableVersion="3" showDrill="0" useAutoFormatting="1" rowGrandTotals="0" itemPrintTitles="1" createdVersion="8" indent="0" showHeaders="0" outline="1" outlineData="1" multipleFieldFilters="0" chartFormat="1">
  <location ref="V4:Z35" firstHeaderRow="1" firstDataRow="2" firstDataCol="1" rowPageCount="1" colPageCount="1"/>
  <pivotFields count="11">
    <pivotField multipleItemSelectionAllowed="1" showAll="0"/>
    <pivotField axis="axisRow" dataField="1" showAll="0">
      <items count="4">
        <item x="0"/>
        <item x="1"/>
        <item x="2"/>
        <item t="default"/>
      </items>
    </pivotField>
    <pivotField axis="axisCol" showAll="0">
      <items count="5">
        <item x="2"/>
        <item x="0"/>
        <item x="1"/>
        <item h="1" x="3"/>
        <item t="default"/>
      </items>
    </pivotField>
    <pivotField axis="axisRow" showAll="0">
      <items count="10">
        <item x="5"/>
        <item x="4"/>
        <item x="0"/>
        <item x="2"/>
        <item x="1"/>
        <item x="7"/>
        <item x="6"/>
        <item x="8"/>
        <item x="3"/>
        <item t="default"/>
      </items>
    </pivotField>
    <pivotField showAll="0"/>
    <pivotField showAll="0"/>
    <pivotField showAll="0"/>
    <pivotField showAll="0"/>
    <pivotField showAll="0"/>
    <pivotField axis="axisPage" multipleItemSelectionAllowed="1" showAll="0">
      <items count="8">
        <item m="1" x="6"/>
        <item h="1" x="1"/>
        <item x="0"/>
        <item h="1" x="2"/>
        <item h="1" x="3"/>
        <item h="1" m="1" x="5"/>
        <item h="1" x="4"/>
        <item t="default"/>
      </items>
    </pivotField>
    <pivotField showAll="0"/>
  </pivotFields>
  <rowFields count="2">
    <field x="1"/>
    <field x="3"/>
  </rowFields>
  <rowItems count="30">
    <i>
      <x/>
    </i>
    <i r="1">
      <x/>
    </i>
    <i r="1">
      <x v="1"/>
    </i>
    <i r="1">
      <x v="2"/>
    </i>
    <i r="1">
      <x v="3"/>
    </i>
    <i r="1">
      <x v="4"/>
    </i>
    <i r="1">
      <x v="5"/>
    </i>
    <i r="1">
      <x v="6"/>
    </i>
    <i r="1">
      <x v="7"/>
    </i>
    <i r="1">
      <x v="8"/>
    </i>
    <i>
      <x v="1"/>
    </i>
    <i r="1">
      <x/>
    </i>
    <i r="1">
      <x v="1"/>
    </i>
    <i r="1">
      <x v="2"/>
    </i>
    <i r="1">
      <x v="3"/>
    </i>
    <i r="1">
      <x v="4"/>
    </i>
    <i r="1">
      <x v="5"/>
    </i>
    <i r="1">
      <x v="6"/>
    </i>
    <i r="1">
      <x v="7"/>
    </i>
    <i r="1">
      <x v="8"/>
    </i>
    <i>
      <x v="2"/>
    </i>
    <i r="1">
      <x/>
    </i>
    <i r="1">
      <x v="1"/>
    </i>
    <i r="1">
      <x v="2"/>
    </i>
    <i r="1">
      <x v="3"/>
    </i>
    <i r="1">
      <x v="4"/>
    </i>
    <i r="1">
      <x v="5"/>
    </i>
    <i r="1">
      <x v="6"/>
    </i>
    <i r="1">
      <x v="7"/>
    </i>
    <i r="1">
      <x v="8"/>
    </i>
  </rowItems>
  <colFields count="1">
    <field x="2"/>
  </colFields>
  <colItems count="4">
    <i>
      <x/>
    </i>
    <i>
      <x v="1"/>
    </i>
    <i>
      <x v="2"/>
    </i>
    <i t="grand">
      <x/>
    </i>
  </colItems>
  <pageFields count="1">
    <pageField fld="9" hier="-1"/>
  </pageFields>
  <dataFields count="1">
    <dataField name="Nombre de Rang" fld="1" subtotal="count" baseField="1" baseItem="1"/>
  </dataFields>
  <formats count="17">
    <format dxfId="56">
      <pivotArea type="all" dataOnly="0" outline="0" fieldPosition="0"/>
    </format>
    <format dxfId="55">
      <pivotArea outline="0" collapsedLevelsAreSubtotals="1" fieldPosition="0"/>
    </format>
    <format dxfId="54">
      <pivotArea type="origin" dataOnly="0" labelOnly="1" outline="0" fieldPosition="0"/>
    </format>
    <format dxfId="53">
      <pivotArea type="topRight" dataOnly="0" labelOnly="1" outline="0" fieldPosition="0"/>
    </format>
    <format dxfId="52">
      <pivotArea dataOnly="0" labelOnly="1" fieldPosition="0">
        <references count="1">
          <reference field="1" count="0"/>
        </references>
      </pivotArea>
    </format>
    <format dxfId="51">
      <pivotArea dataOnly="0" labelOnly="1" fieldPosition="0">
        <references count="2">
          <reference field="1" count="1" selected="0">
            <x v="0"/>
          </reference>
          <reference field="3" count="0"/>
        </references>
      </pivotArea>
    </format>
    <format dxfId="50">
      <pivotArea dataOnly="0" labelOnly="1" fieldPosition="0">
        <references count="2">
          <reference field="1" count="1" selected="0">
            <x v="1"/>
          </reference>
          <reference field="3" count="0"/>
        </references>
      </pivotArea>
    </format>
    <format dxfId="49">
      <pivotArea dataOnly="0" labelOnly="1" fieldPosition="0">
        <references count="2">
          <reference field="1" count="1" selected="0">
            <x v="2"/>
          </reference>
          <reference field="3" count="6">
            <x v="1"/>
            <x v="2"/>
            <x v="3"/>
            <x v="4"/>
            <x v="5"/>
            <x v="8"/>
          </reference>
        </references>
      </pivotArea>
    </format>
    <format dxfId="48">
      <pivotArea type="origin" dataOnly="0" labelOnly="1" outline="0" fieldPosition="0"/>
    </format>
    <format dxfId="47">
      <pivotArea dataOnly="0" labelOnly="1" fieldPosition="0">
        <references count="1">
          <reference field="2" count="0"/>
        </references>
      </pivotArea>
    </format>
    <format dxfId="46">
      <pivotArea dataOnly="0" labelOnly="1" grandCol="1" outline="0" fieldPosition="0"/>
    </format>
    <format dxfId="45">
      <pivotArea dataOnly="0" labelOnly="1" fieldPosition="0">
        <references count="1">
          <reference field="1" count="0"/>
        </references>
      </pivotArea>
    </format>
    <format dxfId="44">
      <pivotArea dataOnly="0" labelOnly="1" fieldPosition="0">
        <references count="2">
          <reference field="1" count="1" selected="0">
            <x v="0"/>
          </reference>
          <reference field="3" count="0"/>
        </references>
      </pivotArea>
    </format>
    <format dxfId="43">
      <pivotArea dataOnly="0" labelOnly="1" fieldPosition="0">
        <references count="2">
          <reference field="1" count="1" selected="0">
            <x v="1"/>
          </reference>
          <reference field="3" count="0"/>
        </references>
      </pivotArea>
    </format>
    <format dxfId="42">
      <pivotArea dataOnly="0" labelOnly="1" fieldPosition="0">
        <references count="2">
          <reference field="1" count="1" selected="0">
            <x v="2"/>
          </reference>
          <reference field="3" count="6">
            <x v="1"/>
            <x v="2"/>
            <x v="3"/>
            <x v="4"/>
            <x v="5"/>
            <x v="8"/>
          </reference>
        </references>
      </pivotArea>
    </format>
    <format dxfId="41">
      <pivotArea dataOnly="0" labelOnly="1" fieldPosition="0">
        <references count="1">
          <reference field="2" count="0"/>
        </references>
      </pivotArea>
    </format>
    <format dxfId="40">
      <pivotArea dataOnly="0" labelOnly="1" grandCol="1" outline="0" fieldPosition="0"/>
    </format>
  </formats>
  <chartFormats count="6">
    <chartFormat chart="0" format="3" series="1">
      <pivotArea type="data" outline="0" fieldPosition="0">
        <references count="1">
          <reference field="2" count="1" selected="0">
            <x v="0"/>
          </reference>
        </references>
      </pivotArea>
    </chartFormat>
    <chartFormat chart="0" format="4" series="1">
      <pivotArea type="data" outline="0" fieldPosition="0">
        <references count="1">
          <reference field="2" count="1" selected="0">
            <x v="1"/>
          </reference>
        </references>
      </pivotArea>
    </chartFormat>
    <chartFormat chart="0" format="5" series="1">
      <pivotArea type="data" outline="0" fieldPosition="0">
        <references count="1">
          <reference field="2" count="1" selected="0">
            <x v="2"/>
          </reference>
        </references>
      </pivotArea>
    </chartFormat>
    <chartFormat chart="0" format="6" series="1">
      <pivotArea type="data" outline="0" fieldPosition="0">
        <references count="2">
          <reference field="4294967294" count="1" selected="0">
            <x v="0"/>
          </reference>
          <reference field="2" count="1" selected="0">
            <x v="0"/>
          </reference>
        </references>
      </pivotArea>
    </chartFormat>
    <chartFormat chart="0" format="7" series="1">
      <pivotArea type="data" outline="0" fieldPosition="0">
        <references count="2">
          <reference field="4294967294" count="1" selected="0">
            <x v="0"/>
          </reference>
          <reference field="2" count="1" selected="0">
            <x v="1"/>
          </reference>
        </references>
      </pivotArea>
    </chartFormat>
    <chartFormat chart="0" format="8"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D08482-BBA4-4DA6-BBDA-39B9944FF317}" name="Tableau croisé dynamique3" cacheId="1" applyNumberFormats="0" applyBorderFormats="0" applyFontFormats="0" applyPatternFormats="0" applyAlignmentFormats="0" applyWidthHeightFormats="1" dataCaption="Valeurs" updatedVersion="8" minRefreshableVersion="3" showDrill="0" useAutoFormatting="1" rowGrandTotals="0" colGrandTotals="0" itemPrintTitles="1" mergeItem="1" createdVersion="8" indent="127" showHeaders="0" compact="0" compactData="0" multipleFieldFilters="0" chartFormat="1">
  <location ref="Q31:T35" firstHeaderRow="1" firstDataRow="2" firstDataCol="1" rowPageCount="1" colPageCount="1"/>
  <pivotFields count="11">
    <pivotField compact="0" outline="0" multipleItemSelectionAllowed="1" showAll="0"/>
    <pivotField axis="axisRow" dataField="1" compact="0" outline="0" showAll="0" defaultSubtotal="0">
      <items count="3">
        <item x="0"/>
        <item x="1"/>
        <item x="2"/>
      </items>
    </pivotField>
    <pivotField axis="axisCol" compact="0" outline="0" showAll="0" defaultSubtotal="0">
      <items count="4">
        <item x="2"/>
        <item x="0"/>
        <item x="1"/>
        <item h="1" x="3"/>
      </items>
    </pivotField>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8">
        <item m="1" x="6"/>
        <item h="1" x="1"/>
        <item x="0"/>
        <item h="1" x="2"/>
        <item h="1" x="3"/>
        <item h="1" m="1" x="5"/>
        <item h="1" x="4"/>
        <item t="default"/>
      </items>
    </pivotField>
    <pivotField compact="0" outline="0" showAll="0"/>
  </pivotFields>
  <rowFields count="1">
    <field x="1"/>
  </rowFields>
  <rowItems count="3">
    <i>
      <x/>
    </i>
    <i>
      <x v="1"/>
    </i>
    <i>
      <x v="2"/>
    </i>
  </rowItems>
  <colFields count="1">
    <field x="2"/>
  </colFields>
  <colItems count="3">
    <i>
      <x/>
    </i>
    <i>
      <x v="1"/>
    </i>
    <i>
      <x v="2"/>
    </i>
  </colItems>
  <pageFields count="1">
    <pageField fld="9" hier="-1"/>
  </pageFields>
  <dataFields count="1">
    <dataField name="Nombre" fld="1" subtotal="count" baseField="1" baseItem="0"/>
  </dataFields>
  <formats count="9">
    <format dxfId="65">
      <pivotArea type="all" dataOnly="0" outline="0" fieldPosition="0"/>
    </format>
    <format dxfId="64">
      <pivotArea outline="0" collapsedLevelsAreSubtotals="1" fieldPosition="0"/>
    </format>
    <format dxfId="63">
      <pivotArea type="origin" dataOnly="0" labelOnly="1" outline="0" fieldPosition="0"/>
    </format>
    <format dxfId="62">
      <pivotArea field="2" type="button" dataOnly="0" labelOnly="1" outline="0" axis="axisCol" fieldPosition="0"/>
    </format>
    <format dxfId="61">
      <pivotArea type="topRight" dataOnly="0" labelOnly="1" outline="0" fieldPosition="0"/>
    </format>
    <format dxfId="60">
      <pivotArea field="1" type="button" dataOnly="0" labelOnly="1" outline="0" axis="axisRow" fieldPosition="0"/>
    </format>
    <format dxfId="59">
      <pivotArea dataOnly="0" labelOnly="1" fieldPosition="0">
        <references count="1">
          <reference field="1" count="0"/>
        </references>
      </pivotArea>
    </format>
    <format dxfId="58">
      <pivotArea dataOnly="0" labelOnly="1" fieldPosition="0">
        <references count="1">
          <reference field="2" count="0"/>
        </references>
      </pivotArea>
    </format>
    <format dxfId="57">
      <pivotArea dataOnly="0" labelOnly="1" outline="0" fieldPosition="0">
        <references count="1">
          <reference field="2" count="0"/>
        </references>
      </pivotArea>
    </format>
  </formats>
  <chartFormats count="5">
    <chartFormat chart="0" format="0" series="1">
      <pivotArea type="data" outline="0" fieldPosition="0">
        <references count="1">
          <reference field="2" count="1" selected="0">
            <x v="0"/>
          </reference>
        </references>
      </pivotArea>
    </chartFormat>
    <chartFormat chart="0" format="1" series="1">
      <pivotArea type="data" outline="0" fieldPosition="0">
        <references count="1">
          <reference field="2" count="1" selected="0">
            <x v="1"/>
          </reference>
        </references>
      </pivotArea>
    </chartFormat>
    <chartFormat chart="0" format="2" series="1">
      <pivotArea type="data" outline="0" fieldPosition="0">
        <references count="1">
          <reference field="2" count="1" selected="0">
            <x v="2"/>
          </reference>
        </references>
      </pivotArea>
    </chartFormat>
    <chartFormat chart="0" format="3"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FC6617F-C419-4FE7-B60A-622D233F1B6C}" name="Tableau croisé dynamique1"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3:J1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axis="axisCol" showAll="0">
      <items count="4">
        <item x="0"/>
        <item x="1"/>
        <item x="2"/>
        <item t="default"/>
      </items>
    </pivotField>
    <pivotField showAll="0"/>
    <pivotField showAll="0"/>
    <pivotField showAll="0"/>
    <pivotField showAll="0"/>
    <pivotField showAll="0"/>
    <pivotField showAll="0"/>
  </pivotFields>
  <rowFields count="1">
    <field x="13"/>
  </rowFields>
  <rowItems count="7">
    <i>
      <x/>
    </i>
    <i>
      <x v="1"/>
    </i>
    <i>
      <x v="2"/>
    </i>
    <i>
      <x v="3"/>
    </i>
    <i>
      <x v="4"/>
    </i>
    <i>
      <x v="5"/>
    </i>
    <i>
      <x v="6"/>
    </i>
  </rowItems>
  <colFields count="1">
    <field x="15"/>
  </colFields>
  <colItems count="3">
    <i>
      <x/>
    </i>
    <i>
      <x v="1"/>
    </i>
    <i>
      <x v="2"/>
    </i>
  </colItems>
  <dataFields count="1">
    <dataField name="Nombre" fld="13" subtotal="count" baseField="0" baseItem="0"/>
  </dataFields>
  <formats count="8">
    <format dxfId="73">
      <pivotArea type="all" dataOnly="0" outline="0" fieldPosition="0"/>
    </format>
    <format dxfId="72">
      <pivotArea outline="0" collapsedLevelsAreSubtotals="1" fieldPosition="0"/>
    </format>
    <format dxfId="71">
      <pivotArea type="origin" dataOnly="0" labelOnly="1" outline="0" fieldPosition="0"/>
    </format>
    <format dxfId="70">
      <pivotArea field="15" type="button" dataOnly="0" labelOnly="1" outline="0" axis="axisCol" fieldPosition="0"/>
    </format>
    <format dxfId="69">
      <pivotArea type="topRight" dataOnly="0" labelOnly="1" outline="0" fieldPosition="0"/>
    </format>
    <format dxfId="68">
      <pivotArea field="13" type="button" dataOnly="0" labelOnly="1" outline="0" axis="axisRow" fieldPosition="0"/>
    </format>
    <format dxfId="67">
      <pivotArea dataOnly="0" labelOnly="1" fieldPosition="0">
        <references count="1">
          <reference field="13" count="0"/>
        </references>
      </pivotArea>
    </format>
    <format dxfId="66">
      <pivotArea dataOnly="0" labelOnly="1" fieldPosition="0">
        <references count="1">
          <reference field="15"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A04A0B-99E5-47DA-B000-A1B3A2D4D345}" name="Aspects" displayName="Aspects" ref="A1:W37" totalsRowShown="0">
  <autoFilter ref="A1:W37" xr:uid="{A8A04A0B-99E5-47DA-B000-A1B3A2D4D345}"/>
  <tableColumns count="23">
    <tableColumn id="1" xr3:uid="{10AA4F7D-76DE-41B1-9659-A5044CC3E4A8}" name="Aspect" dataDxfId="31"/>
    <tableColumn id="2" xr3:uid="{A898C7BE-0FDD-402E-8922-35117279222B}" name="Physique" dataDxfId="30"/>
    <tableColumn id="9" xr3:uid="{4FA83F93-4573-46A4-A19C-C295E9738AAD}" name="Phy min" dataDxfId="29"/>
    <tableColumn id="10" xr3:uid="{07F11B45-75A0-4510-8871-7C335ECB6F0B}" name="Phy max" dataDxfId="28"/>
    <tableColumn id="3" xr3:uid="{ECF1AC7E-5D81-4093-B97F-5FBA02904983}" name="Mental" dataDxfId="27"/>
    <tableColumn id="11" xr3:uid="{06B7B755-4C10-4F66-8420-171C42244C9F}" name="Men min" dataDxfId="26"/>
    <tableColumn id="12" xr3:uid="{56B7A928-DE0B-4793-AB8D-3D4BBC8386A7}" name="Men max" dataDxfId="25"/>
    <tableColumn id="4" xr3:uid="{EF26AB02-1B3F-4F8C-8E02-B3283BCEA532}" name="Charactère" dataDxfId="24"/>
    <tableColumn id="13" xr3:uid="{2C1AE653-EA96-4993-9C14-572C1613BF63}" name="Cha min" dataDxfId="23"/>
    <tableColumn id="14" xr3:uid="{8B692861-3522-43B8-B94A-1BE0E42BF8E6}" name="Cha max" dataDxfId="22"/>
    <tableColumn id="15" xr3:uid="{89823BD5-E43B-4180-864D-11077269E43E}" name="Min stats" dataDxfId="21">
      <calculatedColumnFormula>Aspects[[#This Row],[Phy min]]+Aspects[[#This Row],[Men min]]+Aspects[[#This Row],[Cha min]]</calculatedColumnFormula>
    </tableColumn>
    <tableColumn id="18" xr3:uid="{B62942C4-D64A-480D-A6F6-64144A046503}" name="Max stats" dataDxfId="20">
      <calculatedColumnFormula>Aspects[[#This Row],[Phy max]]+Aspects[[#This Row],[Men max]]+Aspects[[#This Row],[Cha max]]</calculatedColumnFormula>
    </tableColumn>
    <tableColumn id="19" xr3:uid="{F9A74C34-ACD5-4533-A2C1-D1E128D13E9B}" name="Range stats" dataDxfId="19">
      <calculatedColumnFormula>MAX(Aspects[[#This Row],[Max stats]]-Aspects[[#This Row],[Min stats]],0)</calculatedColumnFormula>
    </tableColumn>
    <tableColumn id="16" xr3:uid="{643E4DFB-48C1-4622-906D-01CBC394F5EC}" name="Difficulté" dataDxfId="18">
      <calculatedColumnFormula>ROUNDUP(AVERAGE(Aspects[[#This Row],[Phy min]:[Phy max]])*WPHYSIC+AVERAGE(Aspects[[#This Row],[Men min]:[Men max]])*WMENTAL+AVERAGE(Aspects[[#This Row],[Cha min]:[Cha max]])*WCHARAC,0)</calculatedColumnFormula>
    </tableColumn>
    <tableColumn id="17" xr3:uid="{80B84368-B714-432D-BEE5-BA817EC9B9D3}" name="Stat améliorée" dataDxfId="17"/>
    <tableColumn id="5" xr3:uid="{E635B0CD-5AA8-4957-9B73-A5F50895628E}" name="Alignement" dataDxfId="16"/>
    <tableColumn id="6" xr3:uid="{D99196F6-6064-42E9-9F14-08286C5F2CBF}" name="Bonté" dataDxfId="15">
      <calculatedColumnFormula>IFERROR(VLOOKUP(Aspects[[#This Row],[Alignement]],Alignement[],2,FALSE),"")</calculatedColumnFormula>
    </tableColumn>
    <tableColumn id="7" xr3:uid="{A6CC1D48-401A-4CA9-83BC-5484361F3C75}" name="Loyauté" dataDxfId="14">
      <calculatedColumnFormula>IFERROR(VLOOKUP(Aspects[[#This Row],[Alignement]],Alignement[],3,FALSE),"")</calculatedColumnFormula>
    </tableColumn>
    <tableColumn id="8" xr3:uid="{A8B45E07-B4D8-4E13-9202-FDC79F47976E}" name="Magie" dataDxfId="13">
      <calculatedColumnFormula>IF(Aspects[[#This Row],[Men min]]&lt;8,0,1)</calculatedColumnFormula>
    </tableColumn>
    <tableColumn id="22" xr3:uid="{4632161D-13FF-47A8-90DF-3FE97EE6945D}" name="Min" dataDxfId="12">
      <calculatedColumnFormula>IF(OR(AND(Aspects[[#This Row],[Min stats]]&lt;=35,Aspects[[#This Row],[Loyauté]]&lt;&gt;"Loyal"),AND(Aspects[[#This Row],[Min stats]]&lt;=25,Aspects[[#This Row],[Loyauté]]="Loyal")),1,0)</calculatedColumnFormula>
    </tableColumn>
    <tableColumn id="23" xr3:uid="{4D712596-335A-4F29-BEF3-2221C8A7A116}" name="Max" dataDxfId="11">
      <calculatedColumnFormula>IF(Aspects[[#This Row],[Max stats]]&gt;=43,1,0)</calculatedColumnFormula>
    </tableColumn>
    <tableColumn id="21" xr3:uid="{93200CD2-1E11-4826-BAC0-0638EE02B6DE}" name="Range" dataDxfId="10">
      <calculatedColumnFormula>IF(OR(AND(Aspects[[#This Row],[Range stats]]&gt;=15,Aspects[[#This Row],[Range stats]]&lt;=27,Aspects[[#This Row],[Loyauté]]&lt;&gt;"Loyal"),AND(Aspects[[#This Row],[Range stats]]&gt;=27,Aspects[[#This Row],[Range stats]]&lt;=40,Aspects[[#This Row],[Loyauté]]="Loyal")),1,0)</calculatedColumnFormula>
    </tableColumn>
    <tableColumn id="20" xr3:uid="{2FD35BF0-9F45-439F-B8B3-6015C4C8CD4D}" name="Commentair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8FAE0E-3C8A-48F7-A7E1-FC2E477A7D3C}" name="Sorts" displayName="Sorts" ref="A1:K157" totalsRowShown="0" dataDxfId="82">
  <autoFilter ref="A1:K157" xr:uid="{238FAE0E-3C8A-48F7-A7E1-FC2E477A7D3C}"/>
  <sortState xmlns:xlrd2="http://schemas.microsoft.com/office/spreadsheetml/2017/richdata2" ref="A2:K130">
    <sortCondition ref="B2:B130"/>
    <sortCondition ref="D2:D130" customList="Feu,Glace,Foudre,Terre,Arcane,Air,Nature,Lumière,Psy"/>
  </sortState>
  <tableColumns count="11">
    <tableColumn id="1" xr3:uid="{A2AB743F-9073-4A57-9EDA-5E0E415BD54F}" name="Sort"/>
    <tableColumn id="2" xr3:uid="{BA70F8CE-2D33-4A86-A98E-EBA3598A81C2}" name="Rang" dataDxfId="81"/>
    <tableColumn id="3" xr3:uid="{3579E514-6C5C-4F90-B910-48D47EA58876}" name="Type"/>
    <tableColumn id="4" xr3:uid="{AA9D852E-6073-4283-B04F-301D3A15EB76}" name="Element"/>
    <tableColumn id="5" xr3:uid="{B3C7CCA8-728B-479A-BA99-7E199D13407C}" name="Coût" dataDxfId="80"/>
    <tableColumn id="6" xr3:uid="{D7AF6421-4267-4A3B-AAF6-4E44AA0942F5}" name="Incantation" dataDxfId="79"/>
    <tableColumn id="8" xr3:uid="{4C25CF09-2441-41F5-9404-D55F9B6896D2}" name="Concentration" dataDxfId="78"/>
    <tableColumn id="11" xr3:uid="{DCEE26D2-9066-498C-80CA-5F86E102C71A}" name="Distance" dataDxfId="77"/>
    <tableColumn id="9" xr3:uid="{A4EA893E-3AEE-43AB-818E-E2A8638CC5E0}" name="Categorie" dataDxfId="76"/>
    <tableColumn id="7" xr3:uid="{B712D949-FEF4-4A69-A7FE-B58DE93D47BB}" name="Commentaire" dataDxfId="75"/>
    <tableColumn id="10" xr3:uid="{C6861AF9-B2E3-461A-B83C-4A6BA31725E2}" name="Description" dataDxfId="7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0FEC02-33C3-4EBB-BC23-9B9D8A703CE6}" name="Alignement" displayName="Alignement" ref="A1:C10" totalsRowShown="0">
  <autoFilter ref="A1:C10" xr:uid="{320FEC02-33C3-4EBB-BC23-9B9D8A703CE6}"/>
  <tableColumns count="3">
    <tableColumn id="1" xr3:uid="{02C13EDA-ADD2-419A-BDF3-FF680D48F9A5}" name="Alignement"/>
    <tableColumn id="2" xr3:uid="{9B21C42D-A038-4BE0-9A51-2B2420EB9A46}" name="Bonté"/>
    <tableColumn id="3" xr3:uid="{86626128-844F-4074-A925-E2AF354E9683}" name="Loyauté"/>
  </tableColumns>
  <tableStyleInfo name="Neutre"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1C37-2AEE-4DB8-87EA-2D42CAB55EFD}">
  <dimension ref="B2:AB42"/>
  <sheetViews>
    <sheetView showGridLines="0" workbookViewId="0">
      <selection activeCell="L24" sqref="L24"/>
    </sheetView>
  </sheetViews>
  <sheetFormatPr baseColWidth="10" defaultRowHeight="15" x14ac:dyDescent="0.25"/>
  <cols>
    <col min="1" max="2" width="2.85546875" customWidth="1"/>
    <col min="3" max="3" width="11.42578125" customWidth="1"/>
    <col min="4" max="4" width="5.140625" customWidth="1"/>
    <col min="5" max="5" width="10.7109375" customWidth="1"/>
    <col min="6" max="6" width="2.85546875" customWidth="1"/>
    <col min="7" max="7" width="12.42578125" bestFit="1" customWidth="1"/>
    <col min="8" max="8" width="8.28515625" bestFit="1" customWidth="1"/>
    <col min="9" max="9" width="7.28515625" bestFit="1" customWidth="1"/>
    <col min="10" max="10" width="12.5703125" bestFit="1" customWidth="1"/>
    <col min="11" max="11" width="2.85546875" customWidth="1"/>
    <col min="12" max="12" width="20.140625" bestFit="1" customWidth="1"/>
    <col min="13" max="13" width="5" bestFit="1" customWidth="1"/>
    <col min="14" max="16" width="2.85546875" customWidth="1"/>
    <col min="17" max="17" width="13.140625" bestFit="1" customWidth="1"/>
    <col min="18" max="18" width="8.5703125" bestFit="1" customWidth="1"/>
    <col min="19" max="19" width="9.140625" bestFit="1" customWidth="1"/>
    <col min="20" max="20" width="6.42578125" bestFit="1" customWidth="1"/>
    <col min="21" max="21" width="2.85546875" customWidth="1"/>
    <col min="22" max="22" width="15.7109375" bestFit="1" customWidth="1"/>
    <col min="23" max="23" width="8.5703125" bestFit="1" customWidth="1"/>
    <col min="24" max="24" width="9.140625" bestFit="1" customWidth="1"/>
    <col min="25" max="25" width="6.42578125" bestFit="1" customWidth="1"/>
    <col min="26" max="26" width="12.5703125" bestFit="1" customWidth="1"/>
    <col min="27" max="28" width="2.85546875" customWidth="1"/>
    <col min="29" max="29" width="13.140625" bestFit="1" customWidth="1"/>
    <col min="30" max="30" width="15.140625" bestFit="1" customWidth="1"/>
    <col min="31" max="31" width="18.140625" bestFit="1" customWidth="1"/>
    <col min="32" max="32" width="19" bestFit="1" customWidth="1"/>
    <col min="33" max="33" width="21" bestFit="1" customWidth="1"/>
    <col min="34" max="34" width="24" bestFit="1" customWidth="1"/>
    <col min="35" max="35" width="19" bestFit="1" customWidth="1"/>
    <col min="36" max="36" width="21" bestFit="1" customWidth="1"/>
    <col min="37" max="37" width="24" bestFit="1" customWidth="1"/>
    <col min="38" max="38" width="18.140625" bestFit="1" customWidth="1"/>
    <col min="39" max="39" width="20.140625" bestFit="1" customWidth="1"/>
    <col min="40" max="40" width="23.140625" bestFit="1" customWidth="1"/>
  </cols>
  <sheetData>
    <row r="2" spans="2:28" ht="15.75" thickBot="1" x14ac:dyDescent="0.3">
      <c r="B2" s="19"/>
      <c r="C2" s="20"/>
      <c r="D2" s="20"/>
      <c r="E2" s="20"/>
      <c r="F2" s="20"/>
      <c r="G2" s="20"/>
      <c r="H2" s="20"/>
      <c r="I2" s="20"/>
      <c r="J2" s="20"/>
      <c r="K2" s="20"/>
      <c r="L2" s="20"/>
      <c r="M2" s="20"/>
      <c r="N2" s="21"/>
      <c r="P2" s="19"/>
      <c r="Q2" s="20"/>
      <c r="R2" s="20"/>
      <c r="S2" s="20"/>
      <c r="T2" s="20"/>
      <c r="U2" s="20"/>
      <c r="V2" s="53" t="s">
        <v>74</v>
      </c>
      <c r="W2" s="42" t="s">
        <v>240</v>
      </c>
      <c r="X2" s="20"/>
      <c r="Y2" s="20"/>
      <c r="Z2" s="20"/>
      <c r="AA2" s="20"/>
      <c r="AB2" s="22"/>
    </row>
    <row r="3" spans="2:28" x14ac:dyDescent="0.25">
      <c r="B3" s="22"/>
      <c r="C3" s="5" t="s">
        <v>15</v>
      </c>
      <c r="D3" s="28">
        <f>COUNTIF(Aspects[Bonté],"Bon")</f>
        <v>6</v>
      </c>
      <c r="E3" s="33">
        <f>D3/SUM($D$3:$D$5)</f>
        <v>0.16666666666666666</v>
      </c>
      <c r="G3" s="6" t="s">
        <v>69</v>
      </c>
      <c r="H3" s="6" t="s">
        <v>70</v>
      </c>
      <c r="N3" s="23"/>
      <c r="P3" s="22"/>
      <c r="Q3" s="5" t="s">
        <v>196</v>
      </c>
      <c r="R3" s="28">
        <f>COUNTIF(Sorts[Rang],"1")</f>
        <v>64</v>
      </c>
      <c r="S3" s="33">
        <f>R3/SUM(R3:R5)</f>
        <v>0.41025641025641024</v>
      </c>
      <c r="AB3" s="22"/>
    </row>
    <row r="4" spans="2:28" x14ac:dyDescent="0.25">
      <c r="B4" s="22"/>
      <c r="C4" s="3" t="s">
        <v>5</v>
      </c>
      <c r="D4" s="27">
        <f>COUNTIF(Aspects[Bonté],"Neutre")</f>
        <v>15</v>
      </c>
      <c r="E4" s="34">
        <f>D4/SUM($D$3:$D$5)</f>
        <v>0.41666666666666669</v>
      </c>
      <c r="G4" s="6" t="s">
        <v>70</v>
      </c>
      <c r="H4" t="s">
        <v>15</v>
      </c>
      <c r="I4" t="s">
        <v>14</v>
      </c>
      <c r="J4" t="s">
        <v>5</v>
      </c>
      <c r="L4" t="s">
        <v>81</v>
      </c>
      <c r="M4" s="17">
        <v>0.15</v>
      </c>
      <c r="N4" s="23"/>
      <c r="P4" s="22"/>
      <c r="Q4" s="3" t="s">
        <v>197</v>
      </c>
      <c r="R4" s="27">
        <f>COUNTIF(Sorts[Rang],"2")</f>
        <v>53</v>
      </c>
      <c r="S4" s="34">
        <f>R4/SUM(R3:R5)</f>
        <v>0.33974358974358976</v>
      </c>
      <c r="V4" s="39" t="s">
        <v>201</v>
      </c>
      <c r="W4" s="20"/>
      <c r="X4" s="40"/>
      <c r="Y4" s="41"/>
      <c r="Z4" s="42"/>
      <c r="AB4" s="22"/>
    </row>
    <row r="5" spans="2:28" ht="15.75" thickBot="1" x14ac:dyDescent="0.3">
      <c r="B5" s="22"/>
      <c r="C5" s="4" t="s">
        <v>14</v>
      </c>
      <c r="D5" s="29">
        <f>COUNTIF(Aspects[Bonté],"Mauvais")</f>
        <v>15</v>
      </c>
      <c r="E5" s="35">
        <f>D5/SUM($D$3:$D$5)</f>
        <v>0.41666666666666669</v>
      </c>
      <c r="G5" s="7" t="s">
        <v>41</v>
      </c>
      <c r="H5">
        <v>1</v>
      </c>
      <c r="I5">
        <v>1</v>
      </c>
      <c r="J5">
        <v>2</v>
      </c>
      <c r="N5" s="23"/>
      <c r="P5" s="22"/>
      <c r="Q5" s="4" t="s">
        <v>198</v>
      </c>
      <c r="R5" s="29">
        <f>COUNTIF(Sorts[Rang],"3")</f>
        <v>39</v>
      </c>
      <c r="S5" s="35">
        <f>R5/SUM(R3:R5)</f>
        <v>0.25</v>
      </c>
      <c r="V5" s="22"/>
      <c r="W5" s="45" t="s">
        <v>127</v>
      </c>
      <c r="X5" s="56" t="s">
        <v>111</v>
      </c>
      <c r="Y5" s="46" t="s">
        <v>118</v>
      </c>
      <c r="Z5" s="57" t="s">
        <v>200</v>
      </c>
      <c r="AB5" s="22"/>
    </row>
    <row r="6" spans="2:28" ht="15.75" thickBot="1" x14ac:dyDescent="0.3">
      <c r="B6" s="22"/>
      <c r="G6" s="7" t="s">
        <v>38</v>
      </c>
      <c r="H6">
        <v>1</v>
      </c>
      <c r="I6">
        <v>1</v>
      </c>
      <c r="J6">
        <v>3</v>
      </c>
      <c r="L6" t="s">
        <v>82</v>
      </c>
      <c r="M6" s="17">
        <v>0.2</v>
      </c>
      <c r="N6" s="23"/>
      <c r="P6" s="22"/>
      <c r="V6" s="54">
        <v>1</v>
      </c>
      <c r="W6" s="19">
        <v>13</v>
      </c>
      <c r="X6" s="20">
        <v>12</v>
      </c>
      <c r="Y6" s="20">
        <v>18</v>
      </c>
      <c r="Z6" s="21">
        <v>43</v>
      </c>
      <c r="AB6" s="22"/>
    </row>
    <row r="7" spans="2:28" ht="15.75" thickBot="1" x14ac:dyDescent="0.3">
      <c r="B7" s="22"/>
      <c r="G7" s="7" t="s">
        <v>42</v>
      </c>
      <c r="H7">
        <v>1</v>
      </c>
      <c r="I7">
        <v>1</v>
      </c>
      <c r="J7">
        <v>3</v>
      </c>
      <c r="N7" s="23"/>
      <c r="P7" s="22"/>
      <c r="Q7" s="5" t="s">
        <v>199</v>
      </c>
      <c r="R7" s="28">
        <f>COUNTIF(Sorts[Type],"Precision")</f>
        <v>33</v>
      </c>
      <c r="S7" s="33">
        <f>R7/SUM(R7:R9)</f>
        <v>0.27500000000000002</v>
      </c>
      <c r="V7" s="55" t="s">
        <v>133</v>
      </c>
      <c r="W7" s="22"/>
      <c r="X7">
        <v>2</v>
      </c>
      <c r="Y7">
        <v>2</v>
      </c>
      <c r="Z7" s="23">
        <v>4</v>
      </c>
      <c r="AB7" s="22"/>
    </row>
    <row r="8" spans="2:28" x14ac:dyDescent="0.25">
      <c r="B8" s="22"/>
      <c r="C8" s="5" t="s">
        <v>12</v>
      </c>
      <c r="D8" s="28">
        <f>COUNTIF(Aspects[Loyauté],"Loyal")</f>
        <v>9</v>
      </c>
      <c r="E8" s="33">
        <f>D8/SUM($D$8:$D$10)</f>
        <v>0.25</v>
      </c>
      <c r="G8" s="7" t="s">
        <v>37</v>
      </c>
      <c r="H8">
        <v>1</v>
      </c>
      <c r="I8">
        <v>3</v>
      </c>
      <c r="J8">
        <v>1</v>
      </c>
      <c r="L8" t="s">
        <v>83</v>
      </c>
      <c r="M8" s="17">
        <v>0.3</v>
      </c>
      <c r="N8" s="23"/>
      <c r="P8" s="22"/>
      <c r="Q8" s="3" t="s">
        <v>118</v>
      </c>
      <c r="R8" s="27">
        <f>COUNTIF(Sorts[Type],"Savoir")</f>
        <v>50</v>
      </c>
      <c r="S8" s="34">
        <f>R8/SUM(R7:R9)</f>
        <v>0.41666666666666669</v>
      </c>
      <c r="V8" s="50" t="s">
        <v>132</v>
      </c>
      <c r="W8" s="22">
        <v>2</v>
      </c>
      <c r="Y8">
        <v>4</v>
      </c>
      <c r="Z8" s="23">
        <v>6</v>
      </c>
      <c r="AB8" s="22"/>
    </row>
    <row r="9" spans="2:28" ht="15.75" thickBot="1" x14ac:dyDescent="0.3">
      <c r="B9" s="22"/>
      <c r="C9" s="3" t="s">
        <v>5</v>
      </c>
      <c r="D9" s="27">
        <f>COUNTIF(Aspects[Loyauté],"Neutre")</f>
        <v>15</v>
      </c>
      <c r="E9" s="34">
        <f>D9/SUM($D$8:$D$10)</f>
        <v>0.41666666666666669</v>
      </c>
      <c r="G9" s="7" t="s">
        <v>40</v>
      </c>
      <c r="H9">
        <v>1</v>
      </c>
      <c r="I9">
        <v>2</v>
      </c>
      <c r="J9">
        <v>3</v>
      </c>
      <c r="N9" s="23"/>
      <c r="P9" s="22"/>
      <c r="Q9" s="4" t="s">
        <v>127</v>
      </c>
      <c r="R9" s="29">
        <f>COUNTIF(Sorts[Type],"Instinct")</f>
        <v>37</v>
      </c>
      <c r="S9" s="35">
        <f>R9/SUM(R7:R9)</f>
        <v>0.30833333333333335</v>
      </c>
      <c r="V9" s="50" t="s">
        <v>112</v>
      </c>
      <c r="W9" s="22">
        <v>1</v>
      </c>
      <c r="X9">
        <v>2</v>
      </c>
      <c r="Y9">
        <v>3</v>
      </c>
      <c r="Z9" s="23">
        <v>6</v>
      </c>
      <c r="AB9" s="22"/>
    </row>
    <row r="10" spans="2:28" ht="15.75" thickBot="1" x14ac:dyDescent="0.3">
      <c r="B10" s="22"/>
      <c r="C10" s="4" t="s">
        <v>13</v>
      </c>
      <c r="D10" s="29">
        <f>COUNTIF(Aspects[Loyauté],"Chaotique")</f>
        <v>12</v>
      </c>
      <c r="E10" s="35">
        <f>D10/SUM($D$8:$D$10)</f>
        <v>0.33333333333333331</v>
      </c>
      <c r="G10" s="7" t="s">
        <v>43</v>
      </c>
      <c r="H10">
        <v>1</v>
      </c>
      <c r="I10">
        <v>4</v>
      </c>
      <c r="J10">
        <v>1</v>
      </c>
      <c r="N10" s="23"/>
      <c r="P10" s="22"/>
      <c r="V10" s="50" t="s">
        <v>130</v>
      </c>
      <c r="W10" s="22">
        <v>2</v>
      </c>
      <c r="X10">
        <v>2</v>
      </c>
      <c r="Y10">
        <v>2</v>
      </c>
      <c r="Z10" s="23">
        <v>6</v>
      </c>
      <c r="AB10" s="22"/>
    </row>
    <row r="11" spans="2:28" x14ac:dyDescent="0.25">
      <c r="B11" s="22"/>
      <c r="G11" s="7" t="s">
        <v>39</v>
      </c>
      <c r="I11">
        <v>3</v>
      </c>
      <c r="J11">
        <v>2</v>
      </c>
      <c r="N11" s="23"/>
      <c r="P11" s="22"/>
      <c r="Q11" s="5" t="s">
        <v>112</v>
      </c>
      <c r="R11" s="30">
        <f>COUNTIF(Sorts[Element],"Feu")</f>
        <v>17</v>
      </c>
      <c r="S11" s="36">
        <f>R11/SUM(R11:R19)</f>
        <v>0.10897435897435898</v>
      </c>
      <c r="V11" s="50" t="s">
        <v>129</v>
      </c>
      <c r="W11" s="22">
        <v>1</v>
      </c>
      <c r="X11">
        <v>1</v>
      </c>
      <c r="Y11">
        <v>1</v>
      </c>
      <c r="Z11" s="23">
        <v>3</v>
      </c>
      <c r="AB11" s="22"/>
    </row>
    <row r="12" spans="2:28" ht="15.75" thickBot="1" x14ac:dyDescent="0.3">
      <c r="B12" s="22"/>
      <c r="N12" s="23"/>
      <c r="P12" s="22"/>
      <c r="Q12" s="3" t="s">
        <v>129</v>
      </c>
      <c r="R12" s="31">
        <f>COUNTIF(Sorts[Element],"Glace")</f>
        <v>17</v>
      </c>
      <c r="S12" s="37">
        <f>R12/SUM(R11:R19)</f>
        <v>0.10897435897435898</v>
      </c>
      <c r="V12" s="50" t="s">
        <v>134</v>
      </c>
      <c r="W12" s="22">
        <v>1</v>
      </c>
      <c r="X12">
        <v>1</v>
      </c>
      <c r="Y12">
        <v>3</v>
      </c>
      <c r="Z12" s="23">
        <v>5</v>
      </c>
      <c r="AB12" s="22"/>
    </row>
    <row r="13" spans="2:28" x14ac:dyDescent="0.25">
      <c r="B13" s="22"/>
      <c r="C13" s="5" t="s">
        <v>37</v>
      </c>
      <c r="D13" s="28">
        <f>COUNTIF(Aspects[Stat améliorée],"Force")</f>
        <v>5</v>
      </c>
      <c r="E13" s="33">
        <f t="shared" ref="E13:E19" si="0">D13/SUM($D$13:$D$19)</f>
        <v>0.1388888888888889</v>
      </c>
      <c r="G13" s="6" t="s">
        <v>69</v>
      </c>
      <c r="H13" s="6" t="s">
        <v>70</v>
      </c>
      <c r="N13" s="23"/>
      <c r="P13" s="22"/>
      <c r="Q13" s="3" t="s">
        <v>130</v>
      </c>
      <c r="R13" s="31">
        <f>COUNTIF(Sorts[Element],"Foudre")</f>
        <v>17</v>
      </c>
      <c r="S13" s="37">
        <f>R13/SUM(R11:R19)</f>
        <v>0.10897435897435898</v>
      </c>
      <c r="V13" s="50" t="s">
        <v>135</v>
      </c>
      <c r="W13" s="22">
        <v>2</v>
      </c>
      <c r="X13">
        <v>1</v>
      </c>
      <c r="Y13">
        <v>1</v>
      </c>
      <c r="Z13" s="23">
        <v>4</v>
      </c>
      <c r="AB13" s="22"/>
    </row>
    <row r="14" spans="2:28" x14ac:dyDescent="0.25">
      <c r="B14" s="22"/>
      <c r="C14" s="3" t="s">
        <v>38</v>
      </c>
      <c r="D14" s="27">
        <f>COUNTIF(Aspects[Stat améliorée],"Dextérité")</f>
        <v>5</v>
      </c>
      <c r="E14" s="34">
        <f t="shared" si="0"/>
        <v>0.1388888888888889</v>
      </c>
      <c r="G14" s="6" t="s">
        <v>70</v>
      </c>
      <c r="H14" t="s">
        <v>13</v>
      </c>
      <c r="I14" t="s">
        <v>12</v>
      </c>
      <c r="J14" t="s">
        <v>5</v>
      </c>
      <c r="N14" s="23"/>
      <c r="P14" s="22"/>
      <c r="Q14" s="3" t="s">
        <v>131</v>
      </c>
      <c r="R14" s="31">
        <f>COUNTIF(Sorts[Element],"Terre")</f>
        <v>18</v>
      </c>
      <c r="S14" s="37">
        <f>R14/SUM(R11:R19)</f>
        <v>0.11538461538461539</v>
      </c>
      <c r="V14" s="50" t="s">
        <v>136</v>
      </c>
      <c r="W14" s="22">
        <v>3</v>
      </c>
      <c r="Z14" s="23">
        <v>3</v>
      </c>
      <c r="AB14" s="22"/>
    </row>
    <row r="15" spans="2:28" x14ac:dyDescent="0.25">
      <c r="B15" s="22"/>
      <c r="C15" s="3" t="s">
        <v>39</v>
      </c>
      <c r="D15" s="27">
        <f>COUNTIF(Aspects[Stat améliorée],"Résilience")</f>
        <v>5</v>
      </c>
      <c r="E15" s="34">
        <f t="shared" si="0"/>
        <v>0.1388888888888889</v>
      </c>
      <c r="G15" s="7" t="s">
        <v>41</v>
      </c>
      <c r="I15">
        <v>1</v>
      </c>
      <c r="J15">
        <v>3</v>
      </c>
      <c r="N15" s="23"/>
      <c r="P15" s="22"/>
      <c r="Q15" s="3" t="s">
        <v>132</v>
      </c>
      <c r="R15" s="31">
        <f>COUNTIF(Sorts[Element],"Arcane")</f>
        <v>23</v>
      </c>
      <c r="S15" s="37">
        <f>R15/SUM(R11:R19)</f>
        <v>0.14743589743589744</v>
      </c>
      <c r="V15" s="51" t="s">
        <v>131</v>
      </c>
      <c r="W15" s="22">
        <v>1</v>
      </c>
      <c r="X15">
        <v>3</v>
      </c>
      <c r="Y15">
        <v>2</v>
      </c>
      <c r="Z15" s="23">
        <v>6</v>
      </c>
      <c r="AB15" s="22"/>
    </row>
    <row r="16" spans="2:28" x14ac:dyDescent="0.25">
      <c r="B16" s="22"/>
      <c r="C16" s="3" t="s">
        <v>40</v>
      </c>
      <c r="D16" s="27">
        <f>COUNTIF(Aspects[Stat améliorée],"Intelligence")</f>
        <v>6</v>
      </c>
      <c r="E16" s="34">
        <f t="shared" si="0"/>
        <v>0.16666666666666666</v>
      </c>
      <c r="G16" s="7" t="s">
        <v>38</v>
      </c>
      <c r="H16">
        <v>2</v>
      </c>
      <c r="I16">
        <v>1</v>
      </c>
      <c r="J16">
        <v>2</v>
      </c>
      <c r="N16" s="23"/>
      <c r="P16" s="22"/>
      <c r="Q16" s="3" t="s">
        <v>133</v>
      </c>
      <c r="R16" s="31">
        <f>COUNTIF(Sorts[Element],"Air")</f>
        <v>17</v>
      </c>
      <c r="S16" s="37">
        <f>R16/SUM(R11:R19)</f>
        <v>0.10897435897435898</v>
      </c>
      <c r="V16" s="54">
        <v>2</v>
      </c>
      <c r="W16" s="22">
        <v>11</v>
      </c>
      <c r="X16">
        <v>8</v>
      </c>
      <c r="Y16">
        <v>15</v>
      </c>
      <c r="Z16" s="23">
        <v>34</v>
      </c>
      <c r="AB16" s="22"/>
    </row>
    <row r="17" spans="2:28" x14ac:dyDescent="0.25">
      <c r="B17" s="22"/>
      <c r="C17" s="3" t="s">
        <v>41</v>
      </c>
      <c r="D17" s="27">
        <f>COUNTIF(Aspects[Stat améliorée],"Curiosité")</f>
        <v>4</v>
      </c>
      <c r="E17" s="34">
        <f t="shared" si="0"/>
        <v>0.1111111111111111</v>
      </c>
      <c r="G17" s="7" t="s">
        <v>42</v>
      </c>
      <c r="H17">
        <v>1</v>
      </c>
      <c r="I17">
        <v>2</v>
      </c>
      <c r="J17">
        <v>2</v>
      </c>
      <c r="N17" s="23"/>
      <c r="P17" s="22"/>
      <c r="Q17" s="3" t="s">
        <v>135</v>
      </c>
      <c r="R17" s="31">
        <f>COUNTIF(Sorts[Element],"Nature")</f>
        <v>16</v>
      </c>
      <c r="S17" s="37">
        <f>R17/SUM(R11:R19)</f>
        <v>0.10256410256410256</v>
      </c>
      <c r="V17" s="55" t="s">
        <v>133</v>
      </c>
      <c r="W17" s="22">
        <v>1</v>
      </c>
      <c r="X17">
        <v>2</v>
      </c>
      <c r="Y17">
        <v>1</v>
      </c>
      <c r="Z17" s="23">
        <v>4</v>
      </c>
      <c r="AB17" s="22"/>
    </row>
    <row r="18" spans="2:28" x14ac:dyDescent="0.25">
      <c r="B18" s="22"/>
      <c r="C18" s="3" t="s">
        <v>42</v>
      </c>
      <c r="D18" s="27">
        <f>COUNTIF(Aspects[Stat améliorée],"Éloquence")</f>
        <v>5</v>
      </c>
      <c r="E18" s="34">
        <f t="shared" si="0"/>
        <v>0.1388888888888889</v>
      </c>
      <c r="G18" s="7" t="s">
        <v>37</v>
      </c>
      <c r="H18">
        <v>2</v>
      </c>
      <c r="I18">
        <v>1</v>
      </c>
      <c r="J18">
        <v>2</v>
      </c>
      <c r="N18" s="23"/>
      <c r="P18" s="22"/>
      <c r="Q18" s="3" t="s">
        <v>134</v>
      </c>
      <c r="R18" s="31">
        <f>COUNTIF(Sorts[Element],"Lumière")</f>
        <v>16</v>
      </c>
      <c r="S18" s="37">
        <f>R18/SUM(R11:R19)</f>
        <v>0.10256410256410256</v>
      </c>
      <c r="V18" s="50" t="s">
        <v>132</v>
      </c>
      <c r="W18" s="22">
        <v>1</v>
      </c>
      <c r="Y18">
        <v>5</v>
      </c>
      <c r="Z18" s="23">
        <v>6</v>
      </c>
      <c r="AB18" s="22"/>
    </row>
    <row r="19" spans="2:28" ht="15.75" thickBot="1" x14ac:dyDescent="0.3">
      <c r="B19" s="22"/>
      <c r="C19" s="4" t="s">
        <v>43</v>
      </c>
      <c r="D19" s="29">
        <f>COUNTIF(Aspects[Stat améliorée],"Psyché")</f>
        <v>6</v>
      </c>
      <c r="E19" s="35">
        <f t="shared" si="0"/>
        <v>0.16666666666666666</v>
      </c>
      <c r="G19" s="7" t="s">
        <v>40</v>
      </c>
      <c r="H19">
        <v>3</v>
      </c>
      <c r="I19">
        <v>2</v>
      </c>
      <c r="J19">
        <v>1</v>
      </c>
      <c r="N19" s="23"/>
      <c r="P19" s="22"/>
      <c r="Q19" s="4" t="s">
        <v>136</v>
      </c>
      <c r="R19" s="32">
        <f>COUNTIF(Sorts[Element],"Psy")</f>
        <v>15</v>
      </c>
      <c r="S19" s="38">
        <f>R19/SUM(R11:R19)</f>
        <v>9.6153846153846159E-2</v>
      </c>
      <c r="V19" s="50" t="s">
        <v>112</v>
      </c>
      <c r="W19" s="22"/>
      <c r="X19">
        <v>2</v>
      </c>
      <c r="Y19">
        <v>1</v>
      </c>
      <c r="Z19" s="23">
        <v>3</v>
      </c>
      <c r="AB19" s="22"/>
    </row>
    <row r="20" spans="2:28" ht="15.75" thickBot="1" x14ac:dyDescent="0.3">
      <c r="B20" s="22"/>
      <c r="G20" s="7" t="s">
        <v>43</v>
      </c>
      <c r="H20">
        <v>1</v>
      </c>
      <c r="I20">
        <v>1</v>
      </c>
      <c r="J20">
        <v>4</v>
      </c>
      <c r="N20" s="23"/>
      <c r="P20" s="22"/>
      <c r="V20" s="50" t="s">
        <v>130</v>
      </c>
      <c r="W20" s="22">
        <v>3</v>
      </c>
      <c r="X20">
        <v>1</v>
      </c>
      <c r="Y20">
        <v>1</v>
      </c>
      <c r="Z20" s="23">
        <v>5</v>
      </c>
      <c r="AB20" s="22"/>
    </row>
    <row r="21" spans="2:28" x14ac:dyDescent="0.25">
      <c r="B21" s="22"/>
      <c r="G21" s="7" t="s">
        <v>39</v>
      </c>
      <c r="H21">
        <v>3</v>
      </c>
      <c r="I21">
        <v>1</v>
      </c>
      <c r="J21">
        <v>1</v>
      </c>
      <c r="N21" s="23"/>
      <c r="P21" s="22"/>
      <c r="Q21" s="5" t="s">
        <v>210</v>
      </c>
      <c r="R21" s="30">
        <f>COUNTIF(Sorts[Distance],"Personnel")</f>
        <v>33</v>
      </c>
      <c r="S21" s="36">
        <f>R21/SUM(R21:R27)</f>
        <v>0.33</v>
      </c>
      <c r="V21" s="50" t="s">
        <v>129</v>
      </c>
      <c r="W21" s="22">
        <v>1</v>
      </c>
      <c r="X21">
        <v>2</v>
      </c>
      <c r="Y21">
        <v>2</v>
      </c>
      <c r="Z21" s="23">
        <v>5</v>
      </c>
      <c r="AB21" s="22"/>
    </row>
    <row r="22" spans="2:28" x14ac:dyDescent="0.25">
      <c r="B22" s="24"/>
      <c r="C22" s="25"/>
      <c r="D22" s="25"/>
      <c r="E22" s="25"/>
      <c r="F22" s="25"/>
      <c r="G22" s="25"/>
      <c r="H22" s="25"/>
      <c r="I22" s="25"/>
      <c r="J22" s="25"/>
      <c r="K22" s="25"/>
      <c r="L22" s="25"/>
      <c r="M22" s="25"/>
      <c r="N22" s="26"/>
      <c r="P22" s="22"/>
      <c r="Q22" s="3" t="s">
        <v>213</v>
      </c>
      <c r="R22" s="31">
        <f>COUNTIF(Sorts[Distance],Q22)</f>
        <v>14</v>
      </c>
      <c r="S22" s="37">
        <f>R22/SUM(R21:R27)</f>
        <v>0.14000000000000001</v>
      </c>
      <c r="V22" s="50" t="s">
        <v>134</v>
      </c>
      <c r="W22" s="22">
        <v>1</v>
      </c>
      <c r="Y22">
        <v>1</v>
      </c>
      <c r="Z22" s="23">
        <v>2</v>
      </c>
      <c r="AB22" s="22"/>
    </row>
    <row r="23" spans="2:28" x14ac:dyDescent="0.25">
      <c r="P23" s="22"/>
      <c r="Q23" s="3" t="s">
        <v>208</v>
      </c>
      <c r="R23" s="31">
        <f>COUNTIF(Sorts[Distance],Q23)</f>
        <v>11</v>
      </c>
      <c r="S23" s="37">
        <f>R23/SUM(R21:R27)</f>
        <v>0.11</v>
      </c>
      <c r="V23" s="50" t="s">
        <v>135</v>
      </c>
      <c r="W23" s="22">
        <v>2</v>
      </c>
      <c r="Y23">
        <v>1</v>
      </c>
      <c r="Z23" s="23">
        <v>3</v>
      </c>
      <c r="AB23" s="22"/>
    </row>
    <row r="24" spans="2:28" x14ac:dyDescent="0.25">
      <c r="P24" s="22"/>
      <c r="Q24" s="3" t="s">
        <v>211</v>
      </c>
      <c r="R24" s="31">
        <f>COUNTIF(Sorts[Distance],Q24)</f>
        <v>21</v>
      </c>
      <c r="S24" s="37">
        <f>R24/SUM(R21:R27)</f>
        <v>0.21</v>
      </c>
      <c r="V24" s="50" t="s">
        <v>136</v>
      </c>
      <c r="W24" s="22">
        <v>2</v>
      </c>
      <c r="Y24">
        <v>1</v>
      </c>
      <c r="Z24" s="23">
        <v>3</v>
      </c>
      <c r="AB24" s="22"/>
    </row>
    <row r="25" spans="2:28" x14ac:dyDescent="0.25">
      <c r="P25" s="22"/>
      <c r="Q25" s="3" t="s">
        <v>209</v>
      </c>
      <c r="R25" s="31">
        <f>COUNTIF(Sorts[Distance],Q25)</f>
        <v>10</v>
      </c>
      <c r="S25" s="37">
        <f>R25/SUM(R21:R27)</f>
        <v>0.1</v>
      </c>
      <c r="V25" s="51" t="s">
        <v>131</v>
      </c>
      <c r="W25" s="22"/>
      <c r="X25">
        <v>1</v>
      </c>
      <c r="Y25">
        <v>2</v>
      </c>
      <c r="Z25" s="23">
        <v>3</v>
      </c>
      <c r="AB25" s="22"/>
    </row>
    <row r="26" spans="2:28" x14ac:dyDescent="0.25">
      <c r="P26" s="22"/>
      <c r="Q26" s="3" t="s">
        <v>207</v>
      </c>
      <c r="R26" s="31">
        <f>COUNTIF(Sorts[Distance],Q26)</f>
        <v>8</v>
      </c>
      <c r="S26" s="37">
        <f>R26/SUM(R21:R27)</f>
        <v>0.08</v>
      </c>
      <c r="V26" s="54">
        <v>3</v>
      </c>
      <c r="W26" s="22">
        <v>8</v>
      </c>
      <c r="X26">
        <v>4</v>
      </c>
      <c r="Y26">
        <v>11</v>
      </c>
      <c r="Z26" s="23">
        <v>23</v>
      </c>
      <c r="AB26" s="22"/>
    </row>
    <row r="27" spans="2:28" ht="15.75" thickBot="1" x14ac:dyDescent="0.3">
      <c r="P27" s="22"/>
      <c r="Q27" s="4" t="s">
        <v>212</v>
      </c>
      <c r="R27" s="32">
        <f>COUNTIF(Sorts[Distance],Q27)</f>
        <v>3</v>
      </c>
      <c r="S27" s="38">
        <f>R27/SUM(R21:R27)</f>
        <v>0.03</v>
      </c>
      <c r="V27" s="61" t="s">
        <v>133</v>
      </c>
      <c r="W27" s="22">
        <v>1</v>
      </c>
      <c r="Y27">
        <v>1</v>
      </c>
      <c r="Z27" s="23">
        <v>2</v>
      </c>
      <c r="AB27" s="22"/>
    </row>
    <row r="28" spans="2:28" x14ac:dyDescent="0.25">
      <c r="P28" s="22"/>
      <c r="V28" s="55" t="s">
        <v>132</v>
      </c>
      <c r="W28" s="22">
        <v>1</v>
      </c>
      <c r="Y28">
        <v>4</v>
      </c>
      <c r="Z28" s="23">
        <v>5</v>
      </c>
      <c r="AB28" s="22"/>
    </row>
    <row r="29" spans="2:28" x14ac:dyDescent="0.25">
      <c r="P29" s="22"/>
      <c r="Q29" s="53" t="s">
        <v>74</v>
      </c>
      <c r="R29" s="42" t="s">
        <v>240</v>
      </c>
      <c r="V29" s="50" t="s">
        <v>112</v>
      </c>
      <c r="W29" s="22"/>
      <c r="Y29">
        <v>1</v>
      </c>
      <c r="Z29" s="23">
        <v>1</v>
      </c>
      <c r="AB29" s="22"/>
    </row>
    <row r="30" spans="2:28" x14ac:dyDescent="0.25">
      <c r="P30" s="22"/>
      <c r="V30" s="50" t="s">
        <v>130</v>
      </c>
      <c r="W30" s="22">
        <v>1</v>
      </c>
      <c r="X30">
        <v>1</v>
      </c>
      <c r="Y30">
        <v>1</v>
      </c>
      <c r="Z30" s="23">
        <v>3</v>
      </c>
      <c r="AB30" s="22"/>
    </row>
    <row r="31" spans="2:28" x14ac:dyDescent="0.25">
      <c r="P31" s="22"/>
      <c r="Q31" s="44" t="s">
        <v>69</v>
      </c>
      <c r="R31" s="43"/>
      <c r="S31" s="45"/>
      <c r="T31" s="46"/>
      <c r="V31" s="50" t="s">
        <v>129</v>
      </c>
      <c r="W31" s="22">
        <v>1</v>
      </c>
      <c r="X31">
        <v>1</v>
      </c>
      <c r="Y31">
        <v>1</v>
      </c>
      <c r="Z31" s="23">
        <v>3</v>
      </c>
      <c r="AB31" s="22"/>
    </row>
    <row r="32" spans="2:28" x14ac:dyDescent="0.25">
      <c r="P32" s="22"/>
      <c r="Q32" s="31"/>
      <c r="R32" s="58" t="s">
        <v>127</v>
      </c>
      <c r="S32" s="59" t="s">
        <v>111</v>
      </c>
      <c r="T32" s="60" t="s">
        <v>118</v>
      </c>
      <c r="V32" s="51" t="s">
        <v>134</v>
      </c>
      <c r="W32" s="22"/>
      <c r="X32">
        <v>1</v>
      </c>
      <c r="Y32">
        <v>1</v>
      </c>
      <c r="Z32" s="23">
        <v>2</v>
      </c>
      <c r="AB32" s="22"/>
    </row>
    <row r="33" spans="16:28" x14ac:dyDescent="0.25">
      <c r="P33" s="22"/>
      <c r="Q33" s="47">
        <v>1</v>
      </c>
      <c r="R33" s="19">
        <v>13</v>
      </c>
      <c r="S33" s="20">
        <v>12</v>
      </c>
      <c r="T33" s="21">
        <v>18</v>
      </c>
      <c r="V33" s="61" t="s">
        <v>135</v>
      </c>
      <c r="W33" s="22">
        <v>2</v>
      </c>
      <c r="Z33" s="23">
        <v>2</v>
      </c>
      <c r="AB33" s="22"/>
    </row>
    <row r="34" spans="16:28" x14ac:dyDescent="0.25">
      <c r="P34" s="22"/>
      <c r="Q34" s="48">
        <v>2</v>
      </c>
      <c r="R34" s="22">
        <v>11</v>
      </c>
      <c r="S34">
        <v>8</v>
      </c>
      <c r="T34" s="23">
        <v>15</v>
      </c>
      <c r="V34" s="61" t="s">
        <v>136</v>
      </c>
      <c r="W34" s="22">
        <v>2</v>
      </c>
      <c r="Z34" s="23">
        <v>2</v>
      </c>
      <c r="AB34" s="22"/>
    </row>
    <row r="35" spans="16:28" x14ac:dyDescent="0.25">
      <c r="P35" s="22"/>
      <c r="Q35" s="49">
        <v>3</v>
      </c>
      <c r="R35" s="24">
        <v>8</v>
      </c>
      <c r="S35" s="25">
        <v>4</v>
      </c>
      <c r="T35" s="26">
        <v>11</v>
      </c>
      <c r="V35" s="62" t="s">
        <v>131</v>
      </c>
      <c r="W35" s="24"/>
      <c r="X35" s="25">
        <v>1</v>
      </c>
      <c r="Y35" s="25">
        <v>2</v>
      </c>
      <c r="Z35" s="26">
        <v>3</v>
      </c>
      <c r="AB35" s="22"/>
    </row>
    <row r="36" spans="16:28" x14ac:dyDescent="0.25">
      <c r="P36" s="22"/>
      <c r="AB36" s="22"/>
    </row>
    <row r="37" spans="16:28" x14ac:dyDescent="0.25">
      <c r="P37" s="22"/>
      <c r="AB37" s="22"/>
    </row>
    <row r="38" spans="16:28" x14ac:dyDescent="0.25">
      <c r="P38" s="22"/>
      <c r="AB38" s="22"/>
    </row>
    <row r="39" spans="16:28" x14ac:dyDescent="0.25">
      <c r="P39" s="22"/>
      <c r="AB39" s="22"/>
    </row>
    <row r="40" spans="16:28" x14ac:dyDescent="0.25">
      <c r="P40" s="22"/>
      <c r="AB40" s="22"/>
    </row>
    <row r="41" spans="16:28" x14ac:dyDescent="0.25">
      <c r="P41" s="22"/>
      <c r="AB41" s="22"/>
    </row>
    <row r="42" spans="16:28" x14ac:dyDescent="0.25">
      <c r="P42" s="24"/>
      <c r="Q42" s="25"/>
      <c r="R42" s="25"/>
      <c r="S42" s="25"/>
      <c r="T42" s="25"/>
      <c r="U42" s="25"/>
      <c r="V42" s="25"/>
      <c r="W42" s="25"/>
      <c r="X42" s="25"/>
      <c r="Y42" s="25"/>
      <c r="Z42" s="25"/>
      <c r="AA42" s="25"/>
      <c r="AB42" s="22"/>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1D26-0B6C-4A72-A1A8-CF318E525015}">
  <dimension ref="A1:W37"/>
  <sheetViews>
    <sheetView zoomScaleNormal="100" workbookViewId="0">
      <selection activeCell="H26" sqref="H26"/>
    </sheetView>
  </sheetViews>
  <sheetFormatPr baseColWidth="10" defaultRowHeight="15" x14ac:dyDescent="0.25"/>
  <cols>
    <col min="1" max="1" width="15.140625" customWidth="1"/>
    <col min="2" max="2" width="13.7109375" bestFit="1" customWidth="1"/>
    <col min="3" max="3" width="12.7109375" style="12" bestFit="1" customWidth="1"/>
    <col min="4" max="4" width="13" style="12" bestFit="1" customWidth="1"/>
    <col min="5" max="5" width="12" style="12" bestFit="1" customWidth="1"/>
    <col min="6" max="6" width="13.5703125" style="12" bestFit="1" customWidth="1"/>
    <col min="7" max="7" width="13.85546875" style="12" bestFit="1" customWidth="1"/>
    <col min="8" max="8" width="15.140625" style="12" bestFit="1" customWidth="1"/>
    <col min="9" max="9" width="12.7109375" style="12" bestFit="1" customWidth="1"/>
    <col min="10" max="10" width="13" style="12" bestFit="1" customWidth="1"/>
    <col min="11" max="11" width="11.42578125" style="12" bestFit="1" customWidth="1"/>
    <col min="12" max="12" width="11.7109375" bestFit="1" customWidth="1"/>
    <col min="13" max="13" width="13.28515625" bestFit="1" customWidth="1"/>
    <col min="14" max="14" width="11.5703125" customWidth="1"/>
    <col min="15" max="15" width="15.140625" customWidth="1"/>
    <col min="16" max="16" width="18" bestFit="1" customWidth="1"/>
    <col min="17" max="17" width="8.5703125" hidden="1" customWidth="1"/>
    <col min="18" max="18" width="10.28515625" hidden="1" customWidth="1"/>
    <col min="19" max="19" width="2.85546875" customWidth="1"/>
    <col min="20" max="20" width="6.85546875" bestFit="1" customWidth="1"/>
    <col min="21" max="21" width="7.140625" bestFit="1" customWidth="1"/>
    <col min="22" max="22" width="8.7109375" bestFit="1" customWidth="1"/>
    <col min="23" max="23" width="45.28515625" bestFit="1" customWidth="1"/>
    <col min="24" max="24" width="11.42578125" customWidth="1"/>
  </cols>
  <sheetData>
    <row r="1" spans="1:23" x14ac:dyDescent="0.25">
      <c r="A1" t="s">
        <v>32</v>
      </c>
      <c r="B1" s="15" t="s">
        <v>33</v>
      </c>
      <c r="C1" s="12" t="s">
        <v>64</v>
      </c>
      <c r="D1" s="12" t="s">
        <v>27</v>
      </c>
      <c r="E1" s="15" t="s">
        <v>34</v>
      </c>
      <c r="F1" s="12" t="s">
        <v>28</v>
      </c>
      <c r="G1" s="12" t="s">
        <v>29</v>
      </c>
      <c r="H1" s="15" t="s">
        <v>35</v>
      </c>
      <c r="I1" s="12" t="s">
        <v>30</v>
      </c>
      <c r="J1" s="12" t="s">
        <v>31</v>
      </c>
      <c r="K1" s="11" t="s">
        <v>65</v>
      </c>
      <c r="L1" s="11" t="s">
        <v>67</v>
      </c>
      <c r="M1" s="11" t="s">
        <v>68</v>
      </c>
      <c r="N1" s="12" t="s">
        <v>77</v>
      </c>
      <c r="O1" t="s">
        <v>75</v>
      </c>
      <c r="P1" t="s">
        <v>3</v>
      </c>
      <c r="Q1" s="11" t="s">
        <v>1</v>
      </c>
      <c r="R1" s="11" t="s">
        <v>2</v>
      </c>
      <c r="S1" t="s">
        <v>36</v>
      </c>
      <c r="T1" t="s">
        <v>72</v>
      </c>
      <c r="U1" t="s">
        <v>73</v>
      </c>
      <c r="V1" t="s">
        <v>71</v>
      </c>
      <c r="W1" t="s">
        <v>74</v>
      </c>
    </row>
    <row r="2" spans="1:23" x14ac:dyDescent="0.25">
      <c r="A2" s="1" t="s">
        <v>18</v>
      </c>
      <c r="B2" s="16" t="str">
        <f>Aspects[[#This Row],[Phy min]] &amp; " - " &amp; Aspects[[#This Row],[Phy max]]</f>
        <v>18 - 25</v>
      </c>
      <c r="C2" s="13">
        <v>18</v>
      </c>
      <c r="D2" s="13">
        <v>25</v>
      </c>
      <c r="E2" s="16" t="str">
        <f>Aspects[[#This Row],[Men min]] &amp; " - " &amp; Aspects[[#This Row],[Men max]]</f>
        <v>8 - 12</v>
      </c>
      <c r="F2" s="13">
        <v>8</v>
      </c>
      <c r="G2" s="13">
        <v>12</v>
      </c>
      <c r="H2" s="16" t="str">
        <f>Aspects[[#This Row],[Cha min]] &amp; " - " &amp; Aspects[[#This Row],[Cha max]]</f>
        <v>8 - 12</v>
      </c>
      <c r="I2" s="13">
        <v>8</v>
      </c>
      <c r="J2" s="13">
        <v>12</v>
      </c>
      <c r="K2" s="14">
        <f>Aspects[[#This Row],[Phy min]]+Aspects[[#This Row],[Men min]]+Aspects[[#This Row],[Cha min]]</f>
        <v>34</v>
      </c>
      <c r="L2" s="14">
        <f>Aspects[[#This Row],[Phy max]]+Aspects[[#This Row],[Men max]]+Aspects[[#This Row],[Cha max]]</f>
        <v>49</v>
      </c>
      <c r="M2" s="14">
        <f>MAX(Aspects[[#This Row],[Max stats]]-Aspects[[#This Row],[Min stats]],0)</f>
        <v>15</v>
      </c>
      <c r="N2" s="12">
        <f>ROUNDUP(AVERAGE(Aspects[[#This Row],[Phy min]:[Phy max]])*WPHYSIC+AVERAGE(Aspects[[#This Row],[Men min]:[Men max]])*WMENTAL+AVERAGE(Aspects[[#This Row],[Cha min]:[Cha max]])*WCHARAC,0)</f>
        <v>9</v>
      </c>
      <c r="O2" s="2" t="s">
        <v>37</v>
      </c>
      <c r="P2" s="1" t="s">
        <v>7</v>
      </c>
      <c r="Q2" s="10" t="str">
        <f>IFERROR(VLOOKUP(Aspects[[#This Row],[Alignement]],Alignement[],2,FALSE),"")</f>
        <v>Bon</v>
      </c>
      <c r="R2" s="10" t="str">
        <f>IFERROR(VLOOKUP(Aspects[[#This Row],[Alignement]],Alignement[],3,FALSE),"")</f>
        <v>Neutre</v>
      </c>
      <c r="S2" s="8">
        <f>IF(Aspects[[#This Row],[Men min]]&lt;8,0,1)</f>
        <v>1</v>
      </c>
      <c r="T2" s="8">
        <f>IF(OR(AND(Aspects[[#This Row],[Min stats]]&lt;=35,Aspects[[#This Row],[Loyauté]]&lt;&gt;"Loyal"),AND(Aspects[[#This Row],[Min stats]]&lt;=25,Aspects[[#This Row],[Loyauté]]="Loyal")),1,0)</f>
        <v>1</v>
      </c>
      <c r="U2" s="8">
        <f>IF(Aspects[[#This Row],[Max stats]]&gt;=43,1,0)</f>
        <v>1</v>
      </c>
      <c r="V2" s="8">
        <f>IF(OR(AND(Aspects[[#This Row],[Range stats]]&gt;=15,Aspects[[#This Row],[Range stats]]&lt;=27,Aspects[[#This Row],[Loyauté]]&lt;&gt;"Loyal"),AND(Aspects[[#This Row],[Range stats]]&gt;=27,Aspects[[#This Row],[Range stats]]&lt;=40,Aspects[[#This Row],[Loyauté]]="Loyal")),1,0)</f>
        <v>1</v>
      </c>
      <c r="W2" s="9"/>
    </row>
    <row r="3" spans="1:23" x14ac:dyDescent="0.25">
      <c r="A3" s="1" t="s">
        <v>24</v>
      </c>
      <c r="B3" s="16" t="str">
        <f>Aspects[[#This Row],[Phy min]] &amp; " - " &amp; Aspects[[#This Row],[Phy max]]</f>
        <v>6 - 18</v>
      </c>
      <c r="C3" s="13">
        <v>6</v>
      </c>
      <c r="D3" s="13">
        <v>18</v>
      </c>
      <c r="E3" s="16" t="str">
        <f>Aspects[[#This Row],[Men min]] &amp; " - " &amp; Aspects[[#This Row],[Men max]]</f>
        <v>15 - 20</v>
      </c>
      <c r="F3" s="13">
        <v>15</v>
      </c>
      <c r="G3" s="13">
        <v>20</v>
      </c>
      <c r="H3" s="16" t="str">
        <f>Aspects[[#This Row],[Cha min]] &amp; " - " &amp; Aspects[[#This Row],[Cha max]]</f>
        <v>10 - 20</v>
      </c>
      <c r="I3" s="13">
        <v>10</v>
      </c>
      <c r="J3" s="13">
        <v>20</v>
      </c>
      <c r="K3" s="14">
        <f>Aspects[[#This Row],[Phy min]]+Aspects[[#This Row],[Men min]]+Aspects[[#This Row],[Cha min]]</f>
        <v>31</v>
      </c>
      <c r="L3" s="14">
        <f>Aspects[[#This Row],[Phy max]]+Aspects[[#This Row],[Men max]]+Aspects[[#This Row],[Cha max]]</f>
        <v>58</v>
      </c>
      <c r="M3" s="14">
        <f>MAX(Aspects[[#This Row],[Max stats]]-Aspects[[#This Row],[Min stats]],0)</f>
        <v>27</v>
      </c>
      <c r="N3" s="12">
        <f>ROUNDUP(AVERAGE(Aspects[[#This Row],[Phy min]:[Phy max]])*WPHYSIC+AVERAGE(Aspects[[#This Row],[Men min]:[Men max]])*WMENTAL+AVERAGE(Aspects[[#This Row],[Cha min]:[Cha max]])*WCHARAC,0)</f>
        <v>10</v>
      </c>
      <c r="O3" s="2" t="s">
        <v>40</v>
      </c>
      <c r="P3" s="1" t="s">
        <v>4</v>
      </c>
      <c r="Q3" s="10" t="str">
        <f>IFERROR(VLOOKUP(Aspects[[#This Row],[Alignement]],Alignement[],2,FALSE),"")</f>
        <v>Neutre</v>
      </c>
      <c r="R3" s="10" t="str">
        <f>IFERROR(VLOOKUP(Aspects[[#This Row],[Alignement]],Alignement[],3,FALSE),"")</f>
        <v>Chaotique</v>
      </c>
      <c r="S3" s="8">
        <f>IF(Aspects[[#This Row],[Men min]]&lt;8,0,1)</f>
        <v>1</v>
      </c>
      <c r="T3" s="8">
        <f>IF(OR(AND(Aspects[[#This Row],[Min stats]]&lt;=35,Aspects[[#This Row],[Loyauté]]&lt;&gt;"Loyal"),AND(Aspects[[#This Row],[Min stats]]&lt;=25,Aspects[[#This Row],[Loyauté]]="Loyal")),1,0)</f>
        <v>1</v>
      </c>
      <c r="U3" s="8">
        <f>IF(Aspects[[#This Row],[Max stats]]&gt;=43,1,0)</f>
        <v>1</v>
      </c>
      <c r="V3" s="8">
        <f>IF(OR(AND(Aspects[[#This Row],[Range stats]]&gt;=15,Aspects[[#This Row],[Range stats]]&lt;=27,Aspects[[#This Row],[Loyauté]]&lt;&gt;"Loyal"),AND(Aspects[[#This Row],[Range stats]]&gt;=27,Aspects[[#This Row],[Range stats]]&lt;=40,Aspects[[#This Row],[Loyauté]]="Loyal")),1,0)</f>
        <v>1</v>
      </c>
      <c r="W3" s="9"/>
    </row>
    <row r="4" spans="1:23" x14ac:dyDescent="0.25">
      <c r="A4" s="1" t="s">
        <v>58</v>
      </c>
      <c r="B4" s="16" t="str">
        <f>Aspects[[#This Row],[Phy min]] &amp; " - " &amp; Aspects[[#This Row],[Phy max]]</f>
        <v>18 - 25</v>
      </c>
      <c r="C4" s="13">
        <v>18</v>
      </c>
      <c r="D4" s="13">
        <v>25</v>
      </c>
      <c r="E4" s="16" t="str">
        <f>Aspects[[#This Row],[Men min]] &amp; " - " &amp; Aspects[[#This Row],[Men max]]</f>
        <v>5 - 12</v>
      </c>
      <c r="F4" s="13">
        <v>5</v>
      </c>
      <c r="G4" s="13">
        <v>12</v>
      </c>
      <c r="H4" s="16" t="str">
        <f>Aspects[[#This Row],[Cha min]] &amp; " - " &amp; Aspects[[#This Row],[Cha max]]</f>
        <v>5 - 15</v>
      </c>
      <c r="I4" s="13">
        <v>5</v>
      </c>
      <c r="J4" s="13">
        <v>15</v>
      </c>
      <c r="K4" s="14">
        <f>Aspects[[#This Row],[Phy min]]+Aspects[[#This Row],[Men min]]+Aspects[[#This Row],[Cha min]]</f>
        <v>28</v>
      </c>
      <c r="L4" s="14">
        <f>Aspects[[#This Row],[Phy max]]+Aspects[[#This Row],[Men max]]+Aspects[[#This Row],[Cha max]]</f>
        <v>52</v>
      </c>
      <c r="M4" s="14">
        <f>MAX(Aspects[[#This Row],[Max stats]]-Aspects[[#This Row],[Min stats]],0)</f>
        <v>24</v>
      </c>
      <c r="N4" s="12">
        <f>ROUNDUP(AVERAGE(Aspects[[#This Row],[Phy min]:[Phy max]])*WPHYSIC+AVERAGE(Aspects[[#This Row],[Men min]:[Men max]])*WMENTAL+AVERAGE(Aspects[[#This Row],[Cha min]:[Cha max]])*WCHARAC,0)</f>
        <v>8</v>
      </c>
      <c r="O4" s="2" t="s">
        <v>39</v>
      </c>
      <c r="P4" s="1" t="s">
        <v>4</v>
      </c>
      <c r="Q4" s="10" t="str">
        <f>IFERROR(VLOOKUP(Aspects[[#This Row],[Alignement]],Alignement[],2,FALSE),"")</f>
        <v>Neutre</v>
      </c>
      <c r="R4" s="10" t="str">
        <f>IFERROR(VLOOKUP(Aspects[[#This Row],[Alignement]],Alignement[],3,FALSE),"")</f>
        <v>Chaotique</v>
      </c>
      <c r="S4" s="8">
        <f>IF(Aspects[[#This Row],[Men min]]&lt;8,0,1)</f>
        <v>0</v>
      </c>
      <c r="T4" s="8">
        <f>IF(OR(AND(Aspects[[#This Row],[Min stats]]&lt;=35,Aspects[[#This Row],[Loyauté]]&lt;&gt;"Loyal"),AND(Aspects[[#This Row],[Min stats]]&lt;=25,Aspects[[#This Row],[Loyauté]]="Loyal")),1,0)</f>
        <v>1</v>
      </c>
      <c r="U4" s="8">
        <f>IF(Aspects[[#This Row],[Max stats]]&gt;=43,1,0)</f>
        <v>1</v>
      </c>
      <c r="V4" s="8">
        <f>IF(OR(AND(Aspects[[#This Row],[Range stats]]&gt;=15,Aspects[[#This Row],[Range stats]]&lt;=27,Aspects[[#This Row],[Loyauté]]&lt;&gt;"Loyal"),AND(Aspects[[#This Row],[Range stats]]&gt;=27,Aspects[[#This Row],[Range stats]]&lt;=40,Aspects[[#This Row],[Loyauté]]="Loyal")),1,0)</f>
        <v>1</v>
      </c>
      <c r="W4" s="9"/>
    </row>
    <row r="5" spans="1:23" x14ac:dyDescent="0.25">
      <c r="A5" s="1" t="s">
        <v>47</v>
      </c>
      <c r="B5" s="16" t="str">
        <f>Aspects[[#This Row],[Phy min]] &amp; " - " &amp; Aspects[[#This Row],[Phy max]]</f>
        <v>6 - 15</v>
      </c>
      <c r="C5" s="13">
        <v>6</v>
      </c>
      <c r="D5" s="13">
        <v>15</v>
      </c>
      <c r="E5" s="16" t="str">
        <f>Aspects[[#This Row],[Men min]] &amp; " - " &amp; Aspects[[#This Row],[Men max]]</f>
        <v>8 - 18</v>
      </c>
      <c r="F5" s="13">
        <v>8</v>
      </c>
      <c r="G5" s="13">
        <v>18</v>
      </c>
      <c r="H5" s="16" t="str">
        <f>Aspects[[#This Row],[Cha min]] &amp; " - " &amp; Aspects[[#This Row],[Cha max]]</f>
        <v>12 - 20</v>
      </c>
      <c r="I5" s="13">
        <v>12</v>
      </c>
      <c r="J5" s="13">
        <v>20</v>
      </c>
      <c r="K5" s="14">
        <f>Aspects[[#This Row],[Phy min]]+Aspects[[#This Row],[Men min]]+Aspects[[#This Row],[Cha min]]</f>
        <v>26</v>
      </c>
      <c r="L5" s="14">
        <f>Aspects[[#This Row],[Phy max]]+Aspects[[#This Row],[Men max]]+Aspects[[#This Row],[Cha max]]</f>
        <v>53</v>
      </c>
      <c r="M5" s="14">
        <f>MAX(Aspects[[#This Row],[Max stats]]-Aspects[[#This Row],[Min stats]],0)</f>
        <v>27</v>
      </c>
      <c r="N5" s="12">
        <f>ROUNDUP(AVERAGE(Aspects[[#This Row],[Phy min]:[Phy max]])*WPHYSIC+AVERAGE(Aspects[[#This Row],[Men min]:[Men max]])*WMENTAL+AVERAGE(Aspects[[#This Row],[Cha min]:[Cha max]])*WCHARAC,0)</f>
        <v>9</v>
      </c>
      <c r="O5" s="2" t="s">
        <v>40</v>
      </c>
      <c r="P5" s="1" t="s">
        <v>0</v>
      </c>
      <c r="Q5" s="10" t="str">
        <f>IFERROR(VLOOKUP(Aspects[[#This Row],[Alignement]],Alignement[],2,FALSE),"")</f>
        <v>Mauvais</v>
      </c>
      <c r="R5" s="10" t="str">
        <f>IFERROR(VLOOKUP(Aspects[[#This Row],[Alignement]],Alignement[],3,FALSE),"")</f>
        <v>Neutre</v>
      </c>
      <c r="S5" s="8">
        <f>IF(Aspects[[#This Row],[Men min]]&lt;8,0,1)</f>
        <v>1</v>
      </c>
      <c r="T5" s="8">
        <f>IF(OR(AND(Aspects[[#This Row],[Min stats]]&lt;=35,Aspects[[#This Row],[Loyauté]]&lt;&gt;"Loyal"),AND(Aspects[[#This Row],[Min stats]]&lt;=25,Aspects[[#This Row],[Loyauté]]="Loyal")),1,0)</f>
        <v>1</v>
      </c>
      <c r="U5" s="8">
        <f>IF(Aspects[[#This Row],[Max stats]]&gt;=43,1,0)</f>
        <v>1</v>
      </c>
      <c r="V5" s="8">
        <f>IF(OR(AND(Aspects[[#This Row],[Range stats]]&gt;=15,Aspects[[#This Row],[Range stats]]&lt;=27,Aspects[[#This Row],[Loyauté]]&lt;&gt;"Loyal"),AND(Aspects[[#This Row],[Range stats]]&gt;=27,Aspects[[#This Row],[Range stats]]&lt;=40,Aspects[[#This Row],[Loyauté]]="Loyal")),1,0)</f>
        <v>1</v>
      </c>
      <c r="W5" s="9"/>
    </row>
    <row r="6" spans="1:23" x14ac:dyDescent="0.25">
      <c r="A6" s="1" t="s">
        <v>57</v>
      </c>
      <c r="B6" s="16" t="str">
        <f>Aspects[[#This Row],[Phy min]] &amp; " - " &amp; Aspects[[#This Row],[Phy max]]</f>
        <v>3 - 13</v>
      </c>
      <c r="C6" s="13">
        <v>3</v>
      </c>
      <c r="D6" s="13">
        <v>13</v>
      </c>
      <c r="E6" s="16" t="str">
        <f>Aspects[[#This Row],[Men min]] &amp; " - " &amp; Aspects[[#This Row],[Men max]]</f>
        <v>10 - 20</v>
      </c>
      <c r="F6" s="13">
        <v>10</v>
      </c>
      <c r="G6" s="13">
        <v>20</v>
      </c>
      <c r="H6" s="16" t="str">
        <f>Aspects[[#This Row],[Cha min]] &amp; " - " &amp; Aspects[[#This Row],[Cha max]]</f>
        <v>12 - 20</v>
      </c>
      <c r="I6" s="13">
        <v>12</v>
      </c>
      <c r="J6" s="13">
        <v>20</v>
      </c>
      <c r="K6" s="14">
        <f>Aspects[[#This Row],[Phy min]]+Aspects[[#This Row],[Men min]]+Aspects[[#This Row],[Cha min]]</f>
        <v>25</v>
      </c>
      <c r="L6" s="14">
        <f>Aspects[[#This Row],[Phy max]]+Aspects[[#This Row],[Men max]]+Aspects[[#This Row],[Cha max]]</f>
        <v>53</v>
      </c>
      <c r="M6" s="14">
        <f>MAX(Aspects[[#This Row],[Max stats]]-Aspects[[#This Row],[Min stats]],0)</f>
        <v>28</v>
      </c>
      <c r="N6" s="12">
        <f>ROUNDUP(AVERAGE(Aspects[[#This Row],[Phy min]:[Phy max]])*WPHYSIC+AVERAGE(Aspects[[#This Row],[Men min]:[Men max]])*WMENTAL+AVERAGE(Aspects[[#This Row],[Cha min]:[Cha max]])*WCHARAC,0)</f>
        <v>9</v>
      </c>
      <c r="O6" s="2" t="s">
        <v>42</v>
      </c>
      <c r="P6" s="1" t="s">
        <v>10</v>
      </c>
      <c r="Q6" s="10" t="str">
        <f>IFERROR(VLOOKUP(Aspects[[#This Row],[Alignement]],Alignement[],2,FALSE),"")</f>
        <v>Bon</v>
      </c>
      <c r="R6" s="10" t="str">
        <f>IFERROR(VLOOKUP(Aspects[[#This Row],[Alignement]],Alignement[],3,FALSE),"")</f>
        <v>Loyal</v>
      </c>
      <c r="S6" s="8">
        <f>IF(Aspects[[#This Row],[Men min]]&lt;8,0,1)</f>
        <v>1</v>
      </c>
      <c r="T6" s="8">
        <f>IF(OR(AND(Aspects[[#This Row],[Min stats]]&lt;=35,Aspects[[#This Row],[Loyauté]]&lt;&gt;"Loyal"),AND(Aspects[[#This Row],[Min stats]]&lt;=25,Aspects[[#This Row],[Loyauté]]="Loyal")),1,0)</f>
        <v>1</v>
      </c>
      <c r="U6" s="8">
        <f>IF(Aspects[[#This Row],[Max stats]]&gt;=43,1,0)</f>
        <v>1</v>
      </c>
      <c r="V6" s="8">
        <f>IF(OR(AND(Aspects[[#This Row],[Range stats]]&gt;=15,Aspects[[#This Row],[Range stats]]&lt;=27,Aspects[[#This Row],[Loyauté]]&lt;&gt;"Loyal"),AND(Aspects[[#This Row],[Range stats]]&gt;=27,Aspects[[#This Row],[Range stats]]&lt;=40,Aspects[[#This Row],[Loyauté]]="Loyal")),1,0)</f>
        <v>1</v>
      </c>
      <c r="W6" s="9"/>
    </row>
    <row r="7" spans="1:23" x14ac:dyDescent="0.25">
      <c r="A7" s="1" t="s">
        <v>25</v>
      </c>
      <c r="B7" s="16" t="str">
        <f>Aspects[[#This Row],[Phy min]] &amp; " - " &amp; Aspects[[#This Row],[Phy max]]</f>
        <v>18 - 25</v>
      </c>
      <c r="C7" s="13">
        <v>18</v>
      </c>
      <c r="D7" s="13">
        <v>25</v>
      </c>
      <c r="E7" s="16" t="str">
        <f>Aspects[[#This Row],[Men min]] &amp; " - " &amp; Aspects[[#This Row],[Men max]]</f>
        <v>3 - 13</v>
      </c>
      <c r="F7" s="13">
        <v>3</v>
      </c>
      <c r="G7" s="13">
        <v>13</v>
      </c>
      <c r="H7" s="16" t="str">
        <f>Aspects[[#This Row],[Cha min]] &amp; " - " &amp; Aspects[[#This Row],[Cha max]]</f>
        <v>8 - 15</v>
      </c>
      <c r="I7" s="13">
        <v>8</v>
      </c>
      <c r="J7" s="13">
        <v>15</v>
      </c>
      <c r="K7" s="14">
        <f>Aspects[[#This Row],[Phy min]]+Aspects[[#This Row],[Men min]]+Aspects[[#This Row],[Cha min]]</f>
        <v>29</v>
      </c>
      <c r="L7" s="14">
        <f>Aspects[[#This Row],[Phy max]]+Aspects[[#This Row],[Men max]]+Aspects[[#This Row],[Cha max]]</f>
        <v>53</v>
      </c>
      <c r="M7" s="14">
        <f>MAX(Aspects[[#This Row],[Max stats]]-Aspects[[#This Row],[Min stats]],0)</f>
        <v>24</v>
      </c>
      <c r="N7" s="12">
        <f>ROUNDUP(AVERAGE(Aspects[[#This Row],[Phy min]:[Phy max]])*WPHYSIC+AVERAGE(Aspects[[#This Row],[Men min]:[Men max]])*WMENTAL+AVERAGE(Aspects[[#This Row],[Cha min]:[Cha max]])*WCHARAC,0)</f>
        <v>9</v>
      </c>
      <c r="O7" s="2" t="s">
        <v>39</v>
      </c>
      <c r="P7" s="1" t="s">
        <v>4</v>
      </c>
      <c r="Q7" s="10" t="str">
        <f>IFERROR(VLOOKUP(Aspects[[#This Row],[Alignement]],Alignement[],2,FALSE),"")</f>
        <v>Neutre</v>
      </c>
      <c r="R7" s="10" t="str">
        <f>IFERROR(VLOOKUP(Aspects[[#This Row],[Alignement]],Alignement[],3,FALSE),"")</f>
        <v>Chaotique</v>
      </c>
      <c r="S7" s="8">
        <f>IF(Aspects[[#This Row],[Men min]]&lt;8,0,1)</f>
        <v>0</v>
      </c>
      <c r="T7" s="8">
        <f>IF(OR(AND(Aspects[[#This Row],[Min stats]]&lt;=35,Aspects[[#This Row],[Loyauté]]&lt;&gt;"Loyal"),AND(Aspects[[#This Row],[Min stats]]&lt;=25,Aspects[[#This Row],[Loyauté]]="Loyal")),1,0)</f>
        <v>1</v>
      </c>
      <c r="U7" s="8">
        <f>IF(Aspects[[#This Row],[Max stats]]&gt;=43,1,0)</f>
        <v>1</v>
      </c>
      <c r="V7" s="8">
        <f>IF(OR(AND(Aspects[[#This Row],[Range stats]]&gt;=15,Aspects[[#This Row],[Range stats]]&lt;=27,Aspects[[#This Row],[Loyauté]]&lt;&gt;"Loyal"),AND(Aspects[[#This Row],[Range stats]]&gt;=27,Aspects[[#This Row],[Range stats]]&lt;=40,Aspects[[#This Row],[Loyauté]]="Loyal")),1,0)</f>
        <v>1</v>
      </c>
      <c r="W7" s="9"/>
    </row>
    <row r="8" spans="1:23" x14ac:dyDescent="0.25">
      <c r="A8" s="1" t="s">
        <v>51</v>
      </c>
      <c r="B8" s="16" t="str">
        <f>Aspects[[#This Row],[Phy min]] &amp; " - " &amp; Aspects[[#This Row],[Phy max]]</f>
        <v>8 - 20</v>
      </c>
      <c r="C8" s="13">
        <v>8</v>
      </c>
      <c r="D8" s="13">
        <v>20</v>
      </c>
      <c r="E8" s="16" t="str">
        <f>Aspects[[#This Row],[Men min]] &amp; " - " &amp; Aspects[[#This Row],[Men max]]</f>
        <v>8 - 20</v>
      </c>
      <c r="F8" s="13">
        <v>8</v>
      </c>
      <c r="G8" s="13">
        <v>20</v>
      </c>
      <c r="H8" s="16" t="str">
        <f>Aspects[[#This Row],[Cha min]] &amp; " - " &amp; Aspects[[#This Row],[Cha max]]</f>
        <v>5 - 18</v>
      </c>
      <c r="I8" s="13">
        <v>5</v>
      </c>
      <c r="J8" s="13">
        <v>18</v>
      </c>
      <c r="K8" s="14">
        <f>Aspects[[#This Row],[Phy min]]+Aspects[[#This Row],[Men min]]+Aspects[[#This Row],[Cha min]]</f>
        <v>21</v>
      </c>
      <c r="L8" s="14">
        <f>Aspects[[#This Row],[Phy max]]+Aspects[[#This Row],[Men max]]+Aspects[[#This Row],[Cha max]]</f>
        <v>58</v>
      </c>
      <c r="M8" s="14">
        <f>MAX(Aspects[[#This Row],[Max stats]]-Aspects[[#This Row],[Min stats]],0)</f>
        <v>37</v>
      </c>
      <c r="N8" s="12">
        <f>ROUNDUP(AVERAGE(Aspects[[#This Row],[Phy min]:[Phy max]])*WPHYSIC+AVERAGE(Aspects[[#This Row],[Men min]:[Men max]])*WMENTAL+AVERAGE(Aspects[[#This Row],[Cha min]:[Cha max]])*WCHARAC,0)</f>
        <v>9</v>
      </c>
      <c r="O8" s="2" t="s">
        <v>40</v>
      </c>
      <c r="P8" s="1" t="s">
        <v>9</v>
      </c>
      <c r="Q8" s="10" t="str">
        <f>IFERROR(VLOOKUP(Aspects[[#This Row],[Alignement]],Alignement[],2,FALSE),"")</f>
        <v>Neutre</v>
      </c>
      <c r="R8" s="10" t="str">
        <f>IFERROR(VLOOKUP(Aspects[[#This Row],[Alignement]],Alignement[],3,FALSE),"")</f>
        <v>Loyal</v>
      </c>
      <c r="S8" s="8">
        <f>IF(Aspects[[#This Row],[Men min]]&lt;8,0,1)</f>
        <v>1</v>
      </c>
      <c r="T8" s="8">
        <f>IF(OR(AND(Aspects[[#This Row],[Min stats]]&lt;=35,Aspects[[#This Row],[Loyauté]]&lt;&gt;"Loyal"),AND(Aspects[[#This Row],[Min stats]]&lt;=25,Aspects[[#This Row],[Loyauté]]="Loyal")),1,0)</f>
        <v>1</v>
      </c>
      <c r="U8" s="8">
        <f>IF(Aspects[[#This Row],[Max stats]]&gt;=43,1,0)</f>
        <v>1</v>
      </c>
      <c r="V8" s="8">
        <f>IF(OR(AND(Aspects[[#This Row],[Range stats]]&gt;=15,Aspects[[#This Row],[Range stats]]&lt;=27,Aspects[[#This Row],[Loyauté]]&lt;&gt;"Loyal"),AND(Aspects[[#This Row],[Range stats]]&gt;=27,Aspects[[#This Row],[Range stats]]&lt;=40,Aspects[[#This Row],[Loyauté]]="Loyal")),1,0)</f>
        <v>1</v>
      </c>
      <c r="W8" s="9"/>
    </row>
    <row r="9" spans="1:23" x14ac:dyDescent="0.25">
      <c r="A9" s="1" t="s">
        <v>78</v>
      </c>
      <c r="B9" s="16" t="str">
        <f>Aspects[[#This Row],[Phy min]] &amp; " - " &amp; Aspects[[#This Row],[Phy max]]</f>
        <v>10 - 18</v>
      </c>
      <c r="C9" s="13">
        <v>10</v>
      </c>
      <c r="D9" s="13">
        <v>18</v>
      </c>
      <c r="E9" s="16" t="str">
        <f>Aspects[[#This Row],[Men min]] &amp; " - " &amp; Aspects[[#This Row],[Men max]]</f>
        <v>0 - 10</v>
      </c>
      <c r="F9" s="13">
        <v>0</v>
      </c>
      <c r="G9" s="13">
        <v>10</v>
      </c>
      <c r="H9" s="16" t="str">
        <f>Aspects[[#This Row],[Cha min]] &amp; " - " &amp; Aspects[[#This Row],[Cha max]]</f>
        <v>15 - 20</v>
      </c>
      <c r="I9" s="13">
        <v>15</v>
      </c>
      <c r="J9" s="13">
        <v>20</v>
      </c>
      <c r="K9" s="14">
        <f>Aspects[[#This Row],[Phy min]]+Aspects[[#This Row],[Men min]]+Aspects[[#This Row],[Cha min]]</f>
        <v>25</v>
      </c>
      <c r="L9" s="14">
        <f>Aspects[[#This Row],[Phy max]]+Aspects[[#This Row],[Men max]]+Aspects[[#This Row],[Cha max]]</f>
        <v>48</v>
      </c>
      <c r="M9" s="14">
        <f>MAX(Aspects[[#This Row],[Max stats]]-Aspects[[#This Row],[Min stats]],0)</f>
        <v>23</v>
      </c>
      <c r="N9" s="12">
        <f>ROUNDUP(AVERAGE(Aspects[[#This Row],[Phy min]:[Phy max]])*WPHYSIC+AVERAGE(Aspects[[#This Row],[Men min]:[Men max]])*WMENTAL+AVERAGE(Aspects[[#This Row],[Cha min]:[Cha max]])*WCHARAC,0)</f>
        <v>9</v>
      </c>
      <c r="O9" s="2" t="s">
        <v>42</v>
      </c>
      <c r="P9" s="1" t="s">
        <v>0</v>
      </c>
      <c r="Q9" s="10" t="str">
        <f>IFERROR(VLOOKUP(Aspects[[#This Row],[Alignement]],Alignement[],2,FALSE),"")</f>
        <v>Mauvais</v>
      </c>
      <c r="R9" s="10" t="str">
        <f>IFERROR(VLOOKUP(Aspects[[#This Row],[Alignement]],Alignement[],3,FALSE),"")</f>
        <v>Neutre</v>
      </c>
      <c r="S9" s="8">
        <f>IF(Aspects[[#This Row],[Men min]]&lt;8,0,1)</f>
        <v>0</v>
      </c>
      <c r="T9" s="8">
        <f>IF(OR(AND(Aspects[[#This Row],[Min stats]]&lt;=35,Aspects[[#This Row],[Loyauté]]&lt;&gt;"Loyal"),AND(Aspects[[#This Row],[Min stats]]&lt;=25,Aspects[[#This Row],[Loyauté]]="Loyal")),1,0)</f>
        <v>1</v>
      </c>
      <c r="U9" s="8">
        <f>IF(Aspects[[#This Row],[Max stats]]&gt;=43,1,0)</f>
        <v>1</v>
      </c>
      <c r="V9" s="8">
        <f>IF(OR(AND(Aspects[[#This Row],[Range stats]]&gt;=15,Aspects[[#This Row],[Range stats]]&lt;=27,Aspects[[#This Row],[Loyauté]]&lt;&gt;"Loyal"),AND(Aspects[[#This Row],[Range stats]]&gt;=27,Aspects[[#This Row],[Range stats]]&lt;=40,Aspects[[#This Row],[Loyauté]]="Loyal")),1,0)</f>
        <v>1</v>
      </c>
      <c r="W9" s="9"/>
    </row>
    <row r="10" spans="1:23" x14ac:dyDescent="0.25">
      <c r="A10" s="1" t="s">
        <v>26</v>
      </c>
      <c r="B10" s="16" t="str">
        <f>Aspects[[#This Row],[Phy min]] &amp; " - " &amp; Aspects[[#This Row],[Phy max]]</f>
        <v>12 - 22</v>
      </c>
      <c r="C10" s="13">
        <v>12</v>
      </c>
      <c r="D10" s="13">
        <v>22</v>
      </c>
      <c r="E10" s="16" t="str">
        <f>Aspects[[#This Row],[Men min]] &amp; " - " &amp; Aspects[[#This Row],[Men max]]</f>
        <v>8 - 15</v>
      </c>
      <c r="F10" s="13">
        <v>8</v>
      </c>
      <c r="G10" s="13">
        <v>15</v>
      </c>
      <c r="H10" s="16" t="str">
        <f>Aspects[[#This Row],[Cha min]] &amp; " - " &amp; Aspects[[#This Row],[Cha max]]</f>
        <v>12 - 20</v>
      </c>
      <c r="I10" s="13">
        <v>12</v>
      </c>
      <c r="J10" s="13">
        <v>20</v>
      </c>
      <c r="K10" s="14">
        <f>Aspects[[#This Row],[Phy min]]+Aspects[[#This Row],[Men min]]+Aspects[[#This Row],[Cha min]]</f>
        <v>32</v>
      </c>
      <c r="L10" s="14">
        <f>Aspects[[#This Row],[Phy max]]+Aspects[[#This Row],[Men max]]+Aspects[[#This Row],[Cha max]]</f>
        <v>57</v>
      </c>
      <c r="M10" s="14">
        <f>MAX(Aspects[[#This Row],[Max stats]]-Aspects[[#This Row],[Min stats]],0)</f>
        <v>25</v>
      </c>
      <c r="N10" s="12">
        <f>ROUNDUP(AVERAGE(Aspects[[#This Row],[Phy min]:[Phy max]])*WPHYSIC+AVERAGE(Aspects[[#This Row],[Men min]:[Men max]])*WMENTAL+AVERAGE(Aspects[[#This Row],[Cha min]:[Cha max]])*WCHARAC,0)</f>
        <v>10</v>
      </c>
      <c r="O10" s="2" t="s">
        <v>38</v>
      </c>
      <c r="P10" s="1" t="s">
        <v>0</v>
      </c>
      <c r="Q10" s="10" t="str">
        <f>IFERROR(VLOOKUP(Aspects[[#This Row],[Alignement]],Alignement[],2,FALSE),"")</f>
        <v>Mauvais</v>
      </c>
      <c r="R10" s="10" t="str">
        <f>IFERROR(VLOOKUP(Aspects[[#This Row],[Alignement]],Alignement[],3,FALSE),"")</f>
        <v>Neutre</v>
      </c>
      <c r="S10" s="8">
        <f>IF(Aspects[[#This Row],[Men min]]&lt;8,0,1)</f>
        <v>1</v>
      </c>
      <c r="T10" s="8">
        <f>IF(OR(AND(Aspects[[#This Row],[Min stats]]&lt;=35,Aspects[[#This Row],[Loyauté]]&lt;&gt;"Loyal"),AND(Aspects[[#This Row],[Min stats]]&lt;=25,Aspects[[#This Row],[Loyauté]]="Loyal")),1,0)</f>
        <v>1</v>
      </c>
      <c r="U10" s="8">
        <f>IF(Aspects[[#This Row],[Max stats]]&gt;=43,1,0)</f>
        <v>1</v>
      </c>
      <c r="V10" s="8">
        <f>IF(OR(AND(Aspects[[#This Row],[Range stats]]&gt;=15,Aspects[[#This Row],[Range stats]]&lt;=27,Aspects[[#This Row],[Loyauté]]&lt;&gt;"Loyal"),AND(Aspects[[#This Row],[Range stats]]&gt;=27,Aspects[[#This Row],[Range stats]]&lt;=40,Aspects[[#This Row],[Loyauté]]="Loyal")),1,0)</f>
        <v>1</v>
      </c>
      <c r="W10" s="9"/>
    </row>
    <row r="11" spans="1:23" x14ac:dyDescent="0.25">
      <c r="A11" s="1" t="s">
        <v>66</v>
      </c>
      <c r="B11" s="16" t="str">
        <f>Aspects[[#This Row],[Phy min]] &amp; " - " &amp; Aspects[[#This Row],[Phy max]]</f>
        <v>12 - 20</v>
      </c>
      <c r="C11" s="13">
        <v>12</v>
      </c>
      <c r="D11" s="13">
        <v>20</v>
      </c>
      <c r="E11" s="16" t="str">
        <f>Aspects[[#This Row],[Men min]] &amp; " - " &amp; Aspects[[#This Row],[Men max]]</f>
        <v>8 - 12</v>
      </c>
      <c r="F11" s="13">
        <v>8</v>
      </c>
      <c r="G11" s="13">
        <v>12</v>
      </c>
      <c r="H11" s="16" t="str">
        <f>Aspects[[#This Row],[Cha min]] &amp; " - " &amp; Aspects[[#This Row],[Cha max]]</f>
        <v>15 - 20</v>
      </c>
      <c r="I11" s="13">
        <v>15</v>
      </c>
      <c r="J11" s="13">
        <v>20</v>
      </c>
      <c r="K11" s="14">
        <f>Aspects[[#This Row],[Phy min]]+Aspects[[#This Row],[Men min]]+Aspects[[#This Row],[Cha min]]</f>
        <v>35</v>
      </c>
      <c r="L11" s="14">
        <f>Aspects[[#This Row],[Phy max]]+Aspects[[#This Row],[Men max]]+Aspects[[#This Row],[Cha max]]</f>
        <v>52</v>
      </c>
      <c r="M11" s="14">
        <f>MAX(Aspects[[#This Row],[Max stats]]-Aspects[[#This Row],[Min stats]],0)</f>
        <v>17</v>
      </c>
      <c r="N11" s="12">
        <f>ROUNDUP(AVERAGE(Aspects[[#This Row],[Phy min]:[Phy max]])*WPHYSIC+AVERAGE(Aspects[[#This Row],[Men min]:[Men max]])*WMENTAL+AVERAGE(Aspects[[#This Row],[Cha min]:[Cha max]])*WCHARAC,0)</f>
        <v>10</v>
      </c>
      <c r="O11" s="2" t="s">
        <v>43</v>
      </c>
      <c r="P11" s="1" t="s">
        <v>7</v>
      </c>
      <c r="Q11" s="10" t="str">
        <f>IFERROR(VLOOKUP(Aspects[[#This Row],[Alignement]],Alignement[],2,FALSE),"")</f>
        <v>Bon</v>
      </c>
      <c r="R11" s="10" t="str">
        <f>IFERROR(VLOOKUP(Aspects[[#This Row],[Alignement]],Alignement[],3,FALSE),"")</f>
        <v>Neutre</v>
      </c>
      <c r="S11" s="8">
        <f>IF(Aspects[[#This Row],[Men min]]&lt;8,0,1)</f>
        <v>1</v>
      </c>
      <c r="T11" s="8">
        <f>IF(OR(AND(Aspects[[#This Row],[Min stats]]&lt;=35,Aspects[[#This Row],[Loyauté]]&lt;&gt;"Loyal"),AND(Aspects[[#This Row],[Min stats]]&lt;=25,Aspects[[#This Row],[Loyauté]]="Loyal")),1,0)</f>
        <v>1</v>
      </c>
      <c r="U11" s="8">
        <f>IF(Aspects[[#This Row],[Max stats]]&gt;=43,1,0)</f>
        <v>1</v>
      </c>
      <c r="V11" s="8">
        <f>IF(OR(AND(Aspects[[#This Row],[Range stats]]&gt;=15,Aspects[[#This Row],[Range stats]]&lt;=27,Aspects[[#This Row],[Loyauté]]&lt;&gt;"Loyal"),AND(Aspects[[#This Row],[Range stats]]&gt;=27,Aspects[[#This Row],[Range stats]]&lt;=40,Aspects[[#This Row],[Loyauté]]="Loyal")),1,0)</f>
        <v>1</v>
      </c>
      <c r="W11" s="9"/>
    </row>
    <row r="12" spans="1:23" x14ac:dyDescent="0.25">
      <c r="A12" s="1" t="s">
        <v>53</v>
      </c>
      <c r="B12" s="16" t="str">
        <f>Aspects[[#This Row],[Phy min]] &amp; " - " &amp; Aspects[[#This Row],[Phy max]]</f>
        <v>12 - 22</v>
      </c>
      <c r="C12" s="13">
        <v>12</v>
      </c>
      <c r="D12" s="13">
        <v>22</v>
      </c>
      <c r="E12" s="16" t="str">
        <f>Aspects[[#This Row],[Men min]] &amp; " - " &amp; Aspects[[#This Row],[Men max]]</f>
        <v>12 - 20</v>
      </c>
      <c r="F12" s="13">
        <v>12</v>
      </c>
      <c r="G12" s="13">
        <v>20</v>
      </c>
      <c r="H12" s="16" t="str">
        <f>Aspects[[#This Row],[Cha min]] &amp; " - " &amp; Aspects[[#This Row],[Cha max]]</f>
        <v>3 - 10</v>
      </c>
      <c r="I12" s="13">
        <v>3</v>
      </c>
      <c r="J12" s="13">
        <v>10</v>
      </c>
      <c r="K12" s="14">
        <f>Aspects[[#This Row],[Phy min]]+Aspects[[#This Row],[Men min]]+Aspects[[#This Row],[Cha min]]</f>
        <v>27</v>
      </c>
      <c r="L12" s="14">
        <f>Aspects[[#This Row],[Phy max]]+Aspects[[#This Row],[Men max]]+Aspects[[#This Row],[Cha max]]</f>
        <v>52</v>
      </c>
      <c r="M12" s="14">
        <f>MAX(Aspects[[#This Row],[Max stats]]-Aspects[[#This Row],[Min stats]],0)</f>
        <v>25</v>
      </c>
      <c r="N12" s="12">
        <f>ROUNDUP(AVERAGE(Aspects[[#This Row],[Phy min]:[Phy max]])*WPHYSIC+AVERAGE(Aspects[[#This Row],[Men min]:[Men max]])*WMENTAL+AVERAGE(Aspects[[#This Row],[Cha min]:[Cha max]])*WCHARAC,0)</f>
        <v>8</v>
      </c>
      <c r="O12" s="2" t="s">
        <v>38</v>
      </c>
      <c r="P12" s="1" t="s">
        <v>5</v>
      </c>
      <c r="Q12" s="10" t="str">
        <f>IFERROR(VLOOKUP(Aspects[[#This Row],[Alignement]],Alignement[],2,FALSE),"")</f>
        <v>Neutre</v>
      </c>
      <c r="R12" s="10" t="str">
        <f>IFERROR(VLOOKUP(Aspects[[#This Row],[Alignement]],Alignement[],3,FALSE),"")</f>
        <v>Neutre</v>
      </c>
      <c r="S12" s="8">
        <f>IF(Aspects[[#This Row],[Men min]]&lt;8,0,1)</f>
        <v>1</v>
      </c>
      <c r="T12" s="8">
        <f>IF(OR(AND(Aspects[[#This Row],[Min stats]]&lt;=35,Aspects[[#This Row],[Loyauté]]&lt;&gt;"Loyal"),AND(Aspects[[#This Row],[Min stats]]&lt;=25,Aspects[[#This Row],[Loyauté]]="Loyal")),1,0)</f>
        <v>1</v>
      </c>
      <c r="U12" s="8">
        <f>IF(Aspects[[#This Row],[Max stats]]&gt;=43,1,0)</f>
        <v>1</v>
      </c>
      <c r="V12" s="8">
        <f>IF(OR(AND(Aspects[[#This Row],[Range stats]]&gt;=15,Aspects[[#This Row],[Range stats]]&lt;=27,Aspects[[#This Row],[Loyauté]]&lt;&gt;"Loyal"),AND(Aspects[[#This Row],[Range stats]]&gt;=27,Aspects[[#This Row],[Range stats]]&lt;=40,Aspects[[#This Row],[Loyauté]]="Loyal")),1,0)</f>
        <v>1</v>
      </c>
      <c r="W12" s="9"/>
    </row>
    <row r="13" spans="1:23" x14ac:dyDescent="0.25">
      <c r="A13" s="1" t="s">
        <v>22</v>
      </c>
      <c r="B13" s="16" t="str">
        <f>Aspects[[#This Row],[Phy min]] &amp; " - " &amp; Aspects[[#This Row],[Phy max]]</f>
        <v>8 - 20</v>
      </c>
      <c r="C13" s="13">
        <v>8</v>
      </c>
      <c r="D13" s="13">
        <v>20</v>
      </c>
      <c r="E13" s="16" t="str">
        <f>Aspects[[#This Row],[Men min]] &amp; " - " &amp; Aspects[[#This Row],[Men max]]</f>
        <v>3 - 15</v>
      </c>
      <c r="F13" s="13">
        <v>3</v>
      </c>
      <c r="G13" s="13">
        <v>15</v>
      </c>
      <c r="H13" s="16" t="str">
        <f>Aspects[[#This Row],[Cha min]] &amp; " - " &amp; Aspects[[#This Row],[Cha max]]</f>
        <v>10 - 20</v>
      </c>
      <c r="I13" s="13">
        <v>10</v>
      </c>
      <c r="J13" s="13">
        <v>20</v>
      </c>
      <c r="K13" s="14">
        <f>Aspects[[#This Row],[Phy min]]+Aspects[[#This Row],[Men min]]+Aspects[[#This Row],[Cha min]]</f>
        <v>21</v>
      </c>
      <c r="L13" s="14">
        <f>Aspects[[#This Row],[Phy max]]+Aspects[[#This Row],[Men max]]+Aspects[[#This Row],[Cha max]]</f>
        <v>55</v>
      </c>
      <c r="M13" s="14">
        <f>MAX(Aspects[[#This Row],[Max stats]]-Aspects[[#This Row],[Min stats]],0)</f>
        <v>34</v>
      </c>
      <c r="N13" s="12">
        <f>ROUNDUP(AVERAGE(Aspects[[#This Row],[Phy min]:[Phy max]])*WPHYSIC+AVERAGE(Aspects[[#This Row],[Men min]:[Men max]])*WMENTAL+AVERAGE(Aspects[[#This Row],[Cha min]:[Cha max]])*WCHARAC,0)</f>
        <v>9</v>
      </c>
      <c r="O13" s="2" t="s">
        <v>43</v>
      </c>
      <c r="P13" s="1" t="s">
        <v>11</v>
      </c>
      <c r="Q13" s="10" t="str">
        <f>IFERROR(VLOOKUP(Aspects[[#This Row],[Alignement]],Alignement[],2,FALSE),"")</f>
        <v>Mauvais</v>
      </c>
      <c r="R13" s="10" t="str">
        <f>IFERROR(VLOOKUP(Aspects[[#This Row],[Alignement]],Alignement[],3,FALSE),"")</f>
        <v>Loyal</v>
      </c>
      <c r="S13" s="8">
        <f>IF(Aspects[[#This Row],[Men min]]&lt;8,0,1)</f>
        <v>0</v>
      </c>
      <c r="T13" s="8">
        <f>IF(OR(AND(Aspects[[#This Row],[Min stats]]&lt;=35,Aspects[[#This Row],[Loyauté]]&lt;&gt;"Loyal"),AND(Aspects[[#This Row],[Min stats]]&lt;=25,Aspects[[#This Row],[Loyauté]]="Loyal")),1,0)</f>
        <v>1</v>
      </c>
      <c r="U13" s="8">
        <f>IF(Aspects[[#This Row],[Max stats]]&gt;=43,1,0)</f>
        <v>1</v>
      </c>
      <c r="V13" s="8">
        <f>IF(OR(AND(Aspects[[#This Row],[Range stats]]&gt;=15,Aspects[[#This Row],[Range stats]]&lt;=27,Aspects[[#This Row],[Loyauté]]&lt;&gt;"Loyal"),AND(Aspects[[#This Row],[Range stats]]&gt;=27,Aspects[[#This Row],[Range stats]]&lt;=40,Aspects[[#This Row],[Loyauté]]="Loyal")),1,0)</f>
        <v>1</v>
      </c>
      <c r="W13" s="9"/>
    </row>
    <row r="14" spans="1:23" x14ac:dyDescent="0.25">
      <c r="A14" s="1" t="s">
        <v>17</v>
      </c>
      <c r="B14" s="16" t="str">
        <f>Aspects[[#This Row],[Phy min]] &amp; " - " &amp; Aspects[[#This Row],[Phy max]]</f>
        <v>10 - 18</v>
      </c>
      <c r="C14" s="13">
        <v>10</v>
      </c>
      <c r="D14" s="13">
        <v>18</v>
      </c>
      <c r="E14" s="16" t="str">
        <f>Aspects[[#This Row],[Men min]] &amp; " - " &amp; Aspects[[#This Row],[Men max]]</f>
        <v>10 - 18</v>
      </c>
      <c r="F14" s="13">
        <v>10</v>
      </c>
      <c r="G14" s="13">
        <v>18</v>
      </c>
      <c r="H14" s="16" t="str">
        <f>Aspects[[#This Row],[Cha min]] &amp; " - " &amp; Aspects[[#This Row],[Cha max]]</f>
        <v>12 - 20</v>
      </c>
      <c r="I14" s="13">
        <v>12</v>
      </c>
      <c r="J14" s="13">
        <v>20</v>
      </c>
      <c r="K14" s="14">
        <f>Aspects[[#This Row],[Phy min]]+Aspects[[#This Row],[Men min]]+Aspects[[#This Row],[Cha min]]</f>
        <v>32</v>
      </c>
      <c r="L14" s="14">
        <f>Aspects[[#This Row],[Phy max]]+Aspects[[#This Row],[Men max]]+Aspects[[#This Row],[Cha max]]</f>
        <v>56</v>
      </c>
      <c r="M14" s="14">
        <f>MAX(Aspects[[#This Row],[Max stats]]-Aspects[[#This Row],[Min stats]],0)</f>
        <v>24</v>
      </c>
      <c r="N14" s="12">
        <f>ROUNDUP(AVERAGE(Aspects[[#This Row],[Phy min]:[Phy max]])*WPHYSIC+AVERAGE(Aspects[[#This Row],[Men min]:[Men max]])*WMENTAL+AVERAGE(Aspects[[#This Row],[Cha min]:[Cha max]])*WCHARAC,0)</f>
        <v>10</v>
      </c>
      <c r="O14" s="2" t="s">
        <v>42</v>
      </c>
      <c r="P14" s="1" t="s">
        <v>5</v>
      </c>
      <c r="Q14" s="10" t="str">
        <f>IFERROR(VLOOKUP(Aspects[[#This Row],[Alignement]],Alignement[],2,FALSE),"")</f>
        <v>Neutre</v>
      </c>
      <c r="R14" s="10" t="str">
        <f>IFERROR(VLOOKUP(Aspects[[#This Row],[Alignement]],Alignement[],3,FALSE),"")</f>
        <v>Neutre</v>
      </c>
      <c r="S14" s="8">
        <f>IF(Aspects[[#This Row],[Men min]]&lt;8,0,1)</f>
        <v>1</v>
      </c>
      <c r="T14" s="8">
        <f>IF(OR(AND(Aspects[[#This Row],[Min stats]]&lt;=35,Aspects[[#This Row],[Loyauté]]&lt;&gt;"Loyal"),AND(Aspects[[#This Row],[Min stats]]&lt;=25,Aspects[[#This Row],[Loyauté]]="Loyal")),1,0)</f>
        <v>1</v>
      </c>
      <c r="U14" s="8">
        <f>IF(Aspects[[#This Row],[Max stats]]&gt;=43,1,0)</f>
        <v>1</v>
      </c>
      <c r="V14" s="8">
        <f>IF(OR(AND(Aspects[[#This Row],[Range stats]]&gt;=15,Aspects[[#This Row],[Range stats]]&lt;=27,Aspects[[#This Row],[Loyauté]]&lt;&gt;"Loyal"),AND(Aspects[[#This Row],[Range stats]]&gt;=27,Aspects[[#This Row],[Range stats]]&lt;=40,Aspects[[#This Row],[Loyauté]]="Loyal")),1,0)</f>
        <v>1</v>
      </c>
      <c r="W14" s="9"/>
    </row>
    <row r="15" spans="1:23" x14ac:dyDescent="0.25">
      <c r="A15" s="1" t="s">
        <v>62</v>
      </c>
      <c r="B15" s="16" t="str">
        <f>Aspects[[#This Row],[Phy min]] &amp; " - " &amp; Aspects[[#This Row],[Phy max]]</f>
        <v>18 - 28</v>
      </c>
      <c r="C15" s="13">
        <v>18</v>
      </c>
      <c r="D15" s="13">
        <v>28</v>
      </c>
      <c r="E15" s="16" t="str">
        <f>Aspects[[#This Row],[Men min]] &amp; " - " &amp; Aspects[[#This Row],[Men max]]</f>
        <v>3 - 10</v>
      </c>
      <c r="F15" s="13">
        <v>3</v>
      </c>
      <c r="G15" s="13">
        <v>10</v>
      </c>
      <c r="H15" s="16" t="str">
        <f>Aspects[[#This Row],[Cha min]] &amp; " - " &amp; Aspects[[#This Row],[Cha max]]</f>
        <v>12 - 20</v>
      </c>
      <c r="I15" s="13">
        <v>12</v>
      </c>
      <c r="J15" s="13">
        <v>20</v>
      </c>
      <c r="K15" s="14">
        <f>Aspects[[#This Row],[Phy min]]+Aspects[[#This Row],[Men min]]+Aspects[[#This Row],[Cha min]]</f>
        <v>33</v>
      </c>
      <c r="L15" s="14">
        <f>Aspects[[#This Row],[Phy max]]+Aspects[[#This Row],[Men max]]+Aspects[[#This Row],[Cha max]]</f>
        <v>58</v>
      </c>
      <c r="M15" s="14">
        <f>MAX(Aspects[[#This Row],[Max stats]]-Aspects[[#This Row],[Min stats]],0)</f>
        <v>25</v>
      </c>
      <c r="N15" s="12">
        <f>ROUNDUP(AVERAGE(Aspects[[#This Row],[Phy min]:[Phy max]])*WPHYSIC+AVERAGE(Aspects[[#This Row],[Men min]:[Men max]])*WMENTAL+AVERAGE(Aspects[[#This Row],[Cha min]:[Cha max]])*WCHARAC,0)</f>
        <v>10</v>
      </c>
      <c r="O15" s="2" t="s">
        <v>39</v>
      </c>
      <c r="P15" s="1" t="s">
        <v>0</v>
      </c>
      <c r="Q15" s="10" t="str">
        <f>IFERROR(VLOOKUP(Aspects[[#This Row],[Alignement]],Alignement[],2,FALSE),"")</f>
        <v>Mauvais</v>
      </c>
      <c r="R15" s="10" t="str">
        <f>IFERROR(VLOOKUP(Aspects[[#This Row],[Alignement]],Alignement[],3,FALSE),"")</f>
        <v>Neutre</v>
      </c>
      <c r="S15" s="8">
        <f>IF(Aspects[[#This Row],[Men min]]&lt;8,0,1)</f>
        <v>0</v>
      </c>
      <c r="T15" s="8">
        <f>IF(OR(AND(Aspects[[#This Row],[Min stats]]&lt;=35,Aspects[[#This Row],[Loyauté]]&lt;&gt;"Loyal"),AND(Aspects[[#This Row],[Min stats]]&lt;=25,Aspects[[#This Row],[Loyauté]]="Loyal")),1,0)</f>
        <v>1</v>
      </c>
      <c r="U15" s="8">
        <f>IF(Aspects[[#This Row],[Max stats]]&gt;=43,1,0)</f>
        <v>1</v>
      </c>
      <c r="V15" s="8">
        <f>IF(OR(AND(Aspects[[#This Row],[Range stats]]&gt;=15,Aspects[[#This Row],[Range stats]]&lt;=27,Aspects[[#This Row],[Loyauté]]&lt;&gt;"Loyal"),AND(Aspects[[#This Row],[Range stats]]&gt;=27,Aspects[[#This Row],[Range stats]]&lt;=40,Aspects[[#This Row],[Loyauté]]="Loyal")),1,0)</f>
        <v>1</v>
      </c>
      <c r="W15" s="9"/>
    </row>
    <row r="16" spans="1:23" x14ac:dyDescent="0.25">
      <c r="A16" s="1" t="s">
        <v>80</v>
      </c>
      <c r="B16" s="16" t="str">
        <f>Aspects[[#This Row],[Phy min]] &amp; " - " &amp; Aspects[[#This Row],[Phy max]]</f>
        <v>3 - 18</v>
      </c>
      <c r="C16" s="13">
        <v>3</v>
      </c>
      <c r="D16" s="13">
        <v>18</v>
      </c>
      <c r="E16" s="16" t="str">
        <f>Aspects[[#This Row],[Men min]] &amp; " - " &amp; Aspects[[#This Row],[Men max]]</f>
        <v>12 - 20</v>
      </c>
      <c r="F16" s="13">
        <v>12</v>
      </c>
      <c r="G16" s="13">
        <v>20</v>
      </c>
      <c r="H16" s="16" t="str">
        <f>Aspects[[#This Row],[Cha min]] &amp; " - " &amp; Aspects[[#This Row],[Cha max]]</f>
        <v>10 - 20</v>
      </c>
      <c r="I16" s="13">
        <v>10</v>
      </c>
      <c r="J16" s="13">
        <v>20</v>
      </c>
      <c r="K16" s="14">
        <f>Aspects[[#This Row],[Phy min]]+Aspects[[#This Row],[Men min]]+Aspects[[#This Row],[Cha min]]</f>
        <v>25</v>
      </c>
      <c r="L16" s="14">
        <f>Aspects[[#This Row],[Phy max]]+Aspects[[#This Row],[Men max]]+Aspects[[#This Row],[Cha max]]</f>
        <v>58</v>
      </c>
      <c r="M16" s="14">
        <f>MAX(Aspects[[#This Row],[Max stats]]-Aspects[[#This Row],[Min stats]],0)</f>
        <v>33</v>
      </c>
      <c r="N16" s="12">
        <f>ROUNDUP(AVERAGE(Aspects[[#This Row],[Phy min]:[Phy max]])*WPHYSIC+AVERAGE(Aspects[[#This Row],[Men min]:[Men max]])*WMENTAL+AVERAGE(Aspects[[#This Row],[Cha min]:[Cha max]])*WCHARAC,0)</f>
        <v>10</v>
      </c>
      <c r="O16" s="2" t="s">
        <v>41</v>
      </c>
      <c r="P16" s="1" t="s">
        <v>10</v>
      </c>
      <c r="Q16" s="10" t="str">
        <f>IFERROR(VLOOKUP(Aspects[[#This Row],[Alignement]],Alignement[],2,FALSE),"")</f>
        <v>Bon</v>
      </c>
      <c r="R16" s="10" t="str">
        <f>IFERROR(VLOOKUP(Aspects[[#This Row],[Alignement]],Alignement[],3,FALSE),"")</f>
        <v>Loyal</v>
      </c>
      <c r="S16" s="8">
        <f>IF(Aspects[[#This Row],[Men min]]&lt;8,0,1)</f>
        <v>1</v>
      </c>
      <c r="T16" s="8">
        <f>IF(OR(AND(Aspects[[#This Row],[Min stats]]&lt;=35,Aspects[[#This Row],[Loyauté]]&lt;&gt;"Loyal"),AND(Aspects[[#This Row],[Min stats]]&lt;=25,Aspects[[#This Row],[Loyauté]]="Loyal")),1,0)</f>
        <v>1</v>
      </c>
      <c r="U16" s="8">
        <f>IF(Aspects[[#This Row],[Max stats]]&gt;=43,1,0)</f>
        <v>1</v>
      </c>
      <c r="V16" s="8">
        <f>IF(OR(AND(Aspects[[#This Row],[Range stats]]&gt;=15,Aspects[[#This Row],[Range stats]]&lt;=27,Aspects[[#This Row],[Loyauté]]&lt;&gt;"Loyal"),AND(Aspects[[#This Row],[Range stats]]&gt;=27,Aspects[[#This Row],[Range stats]]&lt;=40,Aspects[[#This Row],[Loyauté]]="Loyal")),1,0)</f>
        <v>1</v>
      </c>
      <c r="W16" s="9"/>
    </row>
    <row r="17" spans="1:23" x14ac:dyDescent="0.25">
      <c r="A17" s="1" t="s">
        <v>23</v>
      </c>
      <c r="B17" s="16" t="str">
        <f>Aspects[[#This Row],[Phy min]] &amp; " - " &amp; Aspects[[#This Row],[Phy max]]</f>
        <v>6 - 15</v>
      </c>
      <c r="C17" s="13">
        <v>6</v>
      </c>
      <c r="D17" s="13">
        <v>15</v>
      </c>
      <c r="E17" s="16" t="str">
        <f>Aspects[[#This Row],[Men min]] &amp; " - " &amp; Aspects[[#This Row],[Men max]]</f>
        <v>10 - 18</v>
      </c>
      <c r="F17" s="13">
        <v>10</v>
      </c>
      <c r="G17" s="13">
        <v>18</v>
      </c>
      <c r="H17" s="16" t="str">
        <f>Aspects[[#This Row],[Cha min]] &amp; " - " &amp; Aspects[[#This Row],[Cha max]]</f>
        <v>15 - 20</v>
      </c>
      <c r="I17" s="13">
        <v>15</v>
      </c>
      <c r="J17" s="13">
        <v>20</v>
      </c>
      <c r="K17" s="14">
        <f>Aspects[[#This Row],[Phy min]]+Aspects[[#This Row],[Men min]]+Aspects[[#This Row],[Cha min]]</f>
        <v>31</v>
      </c>
      <c r="L17" s="14">
        <f>Aspects[[#This Row],[Phy max]]+Aspects[[#This Row],[Men max]]+Aspects[[#This Row],[Cha max]]</f>
        <v>53</v>
      </c>
      <c r="M17" s="14">
        <f>MAX(Aspects[[#This Row],[Max stats]]-Aspects[[#This Row],[Min stats]],0)</f>
        <v>22</v>
      </c>
      <c r="N17" s="12">
        <f>ROUNDUP(AVERAGE(Aspects[[#This Row],[Phy min]:[Phy max]])*WPHYSIC+AVERAGE(Aspects[[#This Row],[Men min]:[Men max]])*WMENTAL+AVERAGE(Aspects[[#This Row],[Cha min]:[Cha max]])*WCHARAC,0)</f>
        <v>10</v>
      </c>
      <c r="O17" s="2" t="s">
        <v>43</v>
      </c>
      <c r="P17" s="1" t="s">
        <v>0</v>
      </c>
      <c r="Q17" s="10" t="str">
        <f>IFERROR(VLOOKUP(Aspects[[#This Row],[Alignement]],Alignement[],2,FALSE),"")</f>
        <v>Mauvais</v>
      </c>
      <c r="R17" s="10" t="str">
        <f>IFERROR(VLOOKUP(Aspects[[#This Row],[Alignement]],Alignement[],3,FALSE),"")</f>
        <v>Neutre</v>
      </c>
      <c r="S17" s="8">
        <f>IF(Aspects[[#This Row],[Men min]]&lt;8,0,1)</f>
        <v>1</v>
      </c>
      <c r="T17" s="8">
        <f>IF(OR(AND(Aspects[[#This Row],[Min stats]]&lt;=35,Aspects[[#This Row],[Loyauté]]&lt;&gt;"Loyal"),AND(Aspects[[#This Row],[Min stats]]&lt;=25,Aspects[[#This Row],[Loyauté]]="Loyal")),1,0)</f>
        <v>1</v>
      </c>
      <c r="U17" s="8">
        <f>IF(Aspects[[#This Row],[Max stats]]&gt;=43,1,0)</f>
        <v>1</v>
      </c>
      <c r="V17" s="8">
        <f>IF(OR(AND(Aspects[[#This Row],[Range stats]]&gt;=15,Aspects[[#This Row],[Range stats]]&lt;=27,Aspects[[#This Row],[Loyauté]]&lt;&gt;"Loyal"),AND(Aspects[[#This Row],[Range stats]]&gt;=27,Aspects[[#This Row],[Range stats]]&lt;=40,Aspects[[#This Row],[Loyauté]]="Loyal")),1,0)</f>
        <v>1</v>
      </c>
      <c r="W17" s="9"/>
    </row>
    <row r="18" spans="1:23" x14ac:dyDescent="0.25">
      <c r="A18" s="1" t="s">
        <v>21</v>
      </c>
      <c r="B18" s="16" t="str">
        <f>Aspects[[#This Row],[Phy min]] &amp; " - " &amp; Aspects[[#This Row],[Phy max]]</f>
        <v>0 - 15</v>
      </c>
      <c r="C18" s="13">
        <v>0</v>
      </c>
      <c r="D18" s="13">
        <v>15</v>
      </c>
      <c r="E18" s="16" t="str">
        <f>Aspects[[#This Row],[Men min]] &amp; " - " &amp; Aspects[[#This Row],[Men max]]</f>
        <v>15 - 20</v>
      </c>
      <c r="F18" s="13">
        <v>15</v>
      </c>
      <c r="G18" s="13">
        <v>20</v>
      </c>
      <c r="H18" s="16" t="str">
        <f>Aspects[[#This Row],[Cha min]] &amp; " - " &amp; Aspects[[#This Row],[Cha max]]</f>
        <v>5 - 20</v>
      </c>
      <c r="I18" s="13">
        <v>5</v>
      </c>
      <c r="J18" s="13">
        <v>20</v>
      </c>
      <c r="K18" s="14">
        <f>Aspects[[#This Row],[Phy min]]+Aspects[[#This Row],[Men min]]+Aspects[[#This Row],[Cha min]]</f>
        <v>20</v>
      </c>
      <c r="L18" s="14">
        <f>Aspects[[#This Row],[Phy max]]+Aspects[[#This Row],[Men max]]+Aspects[[#This Row],[Cha max]]</f>
        <v>55</v>
      </c>
      <c r="M18" s="14">
        <f>MAX(Aspects[[#This Row],[Max stats]]-Aspects[[#This Row],[Min stats]],0)</f>
        <v>35</v>
      </c>
      <c r="N18" s="12">
        <f>ROUNDUP(AVERAGE(Aspects[[#This Row],[Phy min]:[Phy max]])*WPHYSIC+AVERAGE(Aspects[[#This Row],[Men min]:[Men max]])*WMENTAL+AVERAGE(Aspects[[#This Row],[Cha min]:[Cha max]])*WCHARAC,0)</f>
        <v>9</v>
      </c>
      <c r="O18" s="2" t="s">
        <v>40</v>
      </c>
      <c r="P18" s="1" t="s">
        <v>9</v>
      </c>
      <c r="Q18" s="10" t="str">
        <f>IFERROR(VLOOKUP(Aspects[[#This Row],[Alignement]],Alignement[],2,FALSE),"")</f>
        <v>Neutre</v>
      </c>
      <c r="R18" s="10" t="str">
        <f>IFERROR(VLOOKUP(Aspects[[#This Row],[Alignement]],Alignement[],3,FALSE),"")</f>
        <v>Loyal</v>
      </c>
      <c r="S18" s="8">
        <f>IF(Aspects[[#This Row],[Men min]]&lt;8,0,1)</f>
        <v>1</v>
      </c>
      <c r="T18" s="8">
        <f>IF(OR(AND(Aspects[[#This Row],[Min stats]]&lt;=35,Aspects[[#This Row],[Loyauté]]&lt;&gt;"Loyal"),AND(Aspects[[#This Row],[Min stats]]&lt;=25,Aspects[[#This Row],[Loyauté]]="Loyal")),1,0)</f>
        <v>1</v>
      </c>
      <c r="U18" s="8">
        <f>IF(Aspects[[#This Row],[Max stats]]&gt;=43,1,0)</f>
        <v>1</v>
      </c>
      <c r="V18" s="8">
        <f>IF(OR(AND(Aspects[[#This Row],[Range stats]]&gt;=15,Aspects[[#This Row],[Range stats]]&lt;=27,Aspects[[#This Row],[Loyauté]]&lt;&gt;"Loyal"),AND(Aspects[[#This Row],[Range stats]]&gt;=27,Aspects[[#This Row],[Range stats]]&lt;=40,Aspects[[#This Row],[Loyauté]]="Loyal")),1,0)</f>
        <v>1</v>
      </c>
      <c r="W18" s="9"/>
    </row>
    <row r="19" spans="1:23" x14ac:dyDescent="0.25">
      <c r="A19" s="1" t="s">
        <v>54</v>
      </c>
      <c r="B19" s="16" t="str">
        <f>Aspects[[#This Row],[Phy min]] &amp; " - " &amp; Aspects[[#This Row],[Phy max]]</f>
        <v>6 - 13</v>
      </c>
      <c r="C19" s="13">
        <v>6</v>
      </c>
      <c r="D19" s="13">
        <v>13</v>
      </c>
      <c r="E19" s="16" t="str">
        <f>Aspects[[#This Row],[Men min]] &amp; " - " &amp; Aspects[[#This Row],[Men max]]</f>
        <v>15 - 20</v>
      </c>
      <c r="F19" s="13">
        <v>15</v>
      </c>
      <c r="G19" s="13">
        <v>20</v>
      </c>
      <c r="H19" s="16" t="str">
        <f>Aspects[[#This Row],[Cha min]] &amp; " - " &amp; Aspects[[#This Row],[Cha max]]</f>
        <v>10 - 20</v>
      </c>
      <c r="I19" s="13">
        <v>10</v>
      </c>
      <c r="J19" s="13">
        <v>20</v>
      </c>
      <c r="K19" s="14">
        <f>Aspects[[#This Row],[Phy min]]+Aspects[[#This Row],[Men min]]+Aspects[[#This Row],[Cha min]]</f>
        <v>31</v>
      </c>
      <c r="L19" s="14">
        <f>Aspects[[#This Row],[Phy max]]+Aspects[[#This Row],[Men max]]+Aspects[[#This Row],[Cha max]]</f>
        <v>53</v>
      </c>
      <c r="M19" s="14">
        <f>MAX(Aspects[[#This Row],[Max stats]]-Aspects[[#This Row],[Min stats]],0)</f>
        <v>22</v>
      </c>
      <c r="N19" s="12">
        <f>ROUNDUP(AVERAGE(Aspects[[#This Row],[Phy min]:[Phy max]])*WPHYSIC+AVERAGE(Aspects[[#This Row],[Men min]:[Men max]])*WMENTAL+AVERAGE(Aspects[[#This Row],[Cha min]:[Cha max]])*WCHARAC,0)</f>
        <v>10</v>
      </c>
      <c r="O19" s="2" t="s">
        <v>40</v>
      </c>
      <c r="P19" s="1" t="s">
        <v>8</v>
      </c>
      <c r="Q19" s="10" t="str">
        <f>IFERROR(VLOOKUP(Aspects[[#This Row],[Alignement]],Alignement[],2,FALSE),"")</f>
        <v>Mauvais</v>
      </c>
      <c r="R19" s="10" t="str">
        <f>IFERROR(VLOOKUP(Aspects[[#This Row],[Alignement]],Alignement[],3,FALSE),"")</f>
        <v>Chaotique</v>
      </c>
      <c r="S19" s="8">
        <f>IF(Aspects[[#This Row],[Men min]]&lt;8,0,1)</f>
        <v>1</v>
      </c>
      <c r="T19" s="8">
        <f>IF(OR(AND(Aspects[[#This Row],[Min stats]]&lt;=35,Aspects[[#This Row],[Loyauté]]&lt;&gt;"Loyal"),AND(Aspects[[#This Row],[Min stats]]&lt;=25,Aspects[[#This Row],[Loyauté]]="Loyal")),1,0)</f>
        <v>1</v>
      </c>
      <c r="U19" s="8">
        <f>IF(Aspects[[#This Row],[Max stats]]&gt;=43,1,0)</f>
        <v>1</v>
      </c>
      <c r="V19" s="8">
        <f>IF(OR(AND(Aspects[[#This Row],[Range stats]]&gt;=15,Aspects[[#This Row],[Range stats]]&lt;=27,Aspects[[#This Row],[Loyauté]]&lt;&gt;"Loyal"),AND(Aspects[[#This Row],[Range stats]]&gt;=27,Aspects[[#This Row],[Range stats]]&lt;=40,Aspects[[#This Row],[Loyauté]]="Loyal")),1,0)</f>
        <v>1</v>
      </c>
      <c r="W19" s="9"/>
    </row>
    <row r="20" spans="1:23" x14ac:dyDescent="0.25">
      <c r="A20" s="1" t="s">
        <v>46</v>
      </c>
      <c r="B20" s="16" t="str">
        <f>Aspects[[#This Row],[Phy min]] &amp; " - " &amp; Aspects[[#This Row],[Phy max]]</f>
        <v>10 - 22</v>
      </c>
      <c r="C20" s="13">
        <v>10</v>
      </c>
      <c r="D20" s="13">
        <v>22</v>
      </c>
      <c r="E20" s="16" t="str">
        <f>Aspects[[#This Row],[Men min]] &amp; " - " &amp; Aspects[[#This Row],[Men max]]</f>
        <v>10 - 20</v>
      </c>
      <c r="F20" s="13">
        <v>10</v>
      </c>
      <c r="G20" s="13">
        <v>20</v>
      </c>
      <c r="H20" s="16" t="str">
        <f>Aspects[[#This Row],[Cha min]] &amp; " - " &amp; Aspects[[#This Row],[Cha max]]</f>
        <v>0 - 12</v>
      </c>
      <c r="I20" s="13">
        <v>0</v>
      </c>
      <c r="J20" s="13">
        <v>12</v>
      </c>
      <c r="K20" s="14">
        <f>Aspects[[#This Row],[Phy min]]+Aspects[[#This Row],[Men min]]+Aspects[[#This Row],[Cha min]]</f>
        <v>20</v>
      </c>
      <c r="L20" s="14">
        <f>Aspects[[#This Row],[Phy max]]+Aspects[[#This Row],[Men max]]+Aspects[[#This Row],[Cha max]]</f>
        <v>54</v>
      </c>
      <c r="M20" s="14">
        <f>MAX(Aspects[[#This Row],[Max stats]]-Aspects[[#This Row],[Min stats]],0)</f>
        <v>34</v>
      </c>
      <c r="N20" s="12">
        <f>ROUNDUP(AVERAGE(Aspects[[#This Row],[Phy min]:[Phy max]])*WPHYSIC+AVERAGE(Aspects[[#This Row],[Men min]:[Men max]])*WMENTAL+AVERAGE(Aspects[[#This Row],[Cha min]:[Cha max]])*WCHARAC,0)</f>
        <v>8</v>
      </c>
      <c r="O20" s="2" t="s">
        <v>38</v>
      </c>
      <c r="P20" s="1" t="s">
        <v>9</v>
      </c>
      <c r="Q20" s="10" t="str">
        <f>IFERROR(VLOOKUP(Aspects[[#This Row],[Alignement]],Alignement[],2,FALSE),"")</f>
        <v>Neutre</v>
      </c>
      <c r="R20" s="10" t="str">
        <f>IFERROR(VLOOKUP(Aspects[[#This Row],[Alignement]],Alignement[],3,FALSE),"")</f>
        <v>Loyal</v>
      </c>
      <c r="S20" s="8">
        <f>IF(Aspects[[#This Row],[Men min]]&lt;8,0,1)</f>
        <v>1</v>
      </c>
      <c r="T20" s="8">
        <f>IF(OR(AND(Aspects[[#This Row],[Min stats]]&lt;=35,Aspects[[#This Row],[Loyauté]]&lt;&gt;"Loyal"),AND(Aspects[[#This Row],[Min stats]]&lt;=25,Aspects[[#This Row],[Loyauté]]="Loyal")),1,0)</f>
        <v>1</v>
      </c>
      <c r="U20" s="8">
        <f>IF(Aspects[[#This Row],[Max stats]]&gt;=43,1,0)</f>
        <v>1</v>
      </c>
      <c r="V20" s="8">
        <f>IF(OR(AND(Aspects[[#This Row],[Range stats]]&gt;=15,Aspects[[#This Row],[Range stats]]&lt;=27,Aspects[[#This Row],[Loyauté]]&lt;&gt;"Loyal"),AND(Aspects[[#This Row],[Range stats]]&gt;=27,Aspects[[#This Row],[Range stats]]&lt;=40,Aspects[[#This Row],[Loyauté]]="Loyal")),1,0)</f>
        <v>1</v>
      </c>
      <c r="W20" s="9"/>
    </row>
    <row r="21" spans="1:23" x14ac:dyDescent="0.25">
      <c r="A21" s="1" t="s">
        <v>59</v>
      </c>
      <c r="B21" s="16" t="str">
        <f>Aspects[[#This Row],[Phy min]] &amp; " - " &amp; Aspects[[#This Row],[Phy max]]</f>
        <v>10 - 18</v>
      </c>
      <c r="C21" s="13">
        <v>10</v>
      </c>
      <c r="D21" s="13">
        <v>18</v>
      </c>
      <c r="E21" s="16" t="str">
        <f>Aspects[[#This Row],[Men min]] &amp; " - " &amp; Aspects[[#This Row],[Men max]]</f>
        <v>12 - 20</v>
      </c>
      <c r="F21" s="13">
        <v>12</v>
      </c>
      <c r="G21" s="13">
        <v>20</v>
      </c>
      <c r="H21" s="16" t="str">
        <f>Aspects[[#This Row],[Cha min]] &amp; " - " &amp; Aspects[[#This Row],[Cha max]]</f>
        <v>10 - 18</v>
      </c>
      <c r="I21" s="13">
        <v>10</v>
      </c>
      <c r="J21" s="13">
        <v>18</v>
      </c>
      <c r="K21" s="14">
        <f>Aspects[[#This Row],[Phy min]]+Aspects[[#This Row],[Men min]]+Aspects[[#This Row],[Cha min]]</f>
        <v>32</v>
      </c>
      <c r="L21" s="14">
        <f>Aspects[[#This Row],[Phy max]]+Aspects[[#This Row],[Men max]]+Aspects[[#This Row],[Cha max]]</f>
        <v>56</v>
      </c>
      <c r="M21" s="14">
        <f>MAX(Aspects[[#This Row],[Max stats]]-Aspects[[#This Row],[Min stats]],0)</f>
        <v>24</v>
      </c>
      <c r="N21" s="12">
        <f>ROUNDUP(AVERAGE(Aspects[[#This Row],[Phy min]:[Phy max]])*WPHYSIC+AVERAGE(Aspects[[#This Row],[Men min]:[Men max]])*WMENTAL+AVERAGE(Aspects[[#This Row],[Cha min]:[Cha max]])*WCHARAC,0)</f>
        <v>10</v>
      </c>
      <c r="O21" s="2" t="s">
        <v>41</v>
      </c>
      <c r="P21" s="1" t="s">
        <v>0</v>
      </c>
      <c r="Q21" s="10" t="str">
        <f>IFERROR(VLOOKUP(Aspects[[#This Row],[Alignement]],Alignement[],2,FALSE),"")</f>
        <v>Mauvais</v>
      </c>
      <c r="R21" s="10" t="str">
        <f>IFERROR(VLOOKUP(Aspects[[#This Row],[Alignement]],Alignement[],3,FALSE),"")</f>
        <v>Neutre</v>
      </c>
      <c r="S21" s="8">
        <f>IF(Aspects[[#This Row],[Men min]]&lt;8,0,1)</f>
        <v>1</v>
      </c>
      <c r="T21" s="8">
        <f>IF(OR(AND(Aspects[[#This Row],[Min stats]]&lt;=35,Aspects[[#This Row],[Loyauté]]&lt;&gt;"Loyal"),AND(Aspects[[#This Row],[Min stats]]&lt;=25,Aspects[[#This Row],[Loyauté]]="Loyal")),1,0)</f>
        <v>1</v>
      </c>
      <c r="U21" s="8">
        <f>IF(Aspects[[#This Row],[Max stats]]&gt;=43,1,0)</f>
        <v>1</v>
      </c>
      <c r="V21" s="8">
        <f>IF(OR(AND(Aspects[[#This Row],[Range stats]]&gt;=15,Aspects[[#This Row],[Range stats]]&lt;=27,Aspects[[#This Row],[Loyauté]]&lt;&gt;"Loyal"),AND(Aspects[[#This Row],[Range stats]]&gt;=27,Aspects[[#This Row],[Range stats]]&lt;=40,Aspects[[#This Row],[Loyauté]]="Loyal")),1,0)</f>
        <v>1</v>
      </c>
      <c r="W21" s="9"/>
    </row>
    <row r="22" spans="1:23" x14ac:dyDescent="0.25">
      <c r="A22" s="1" t="s">
        <v>52</v>
      </c>
      <c r="B22" s="16" t="str">
        <f>Aspects[[#This Row],[Phy min]] &amp; " - " &amp; Aspects[[#This Row],[Phy max]]</f>
        <v>6 - 18</v>
      </c>
      <c r="C22" s="13">
        <v>6</v>
      </c>
      <c r="D22" s="13">
        <v>18</v>
      </c>
      <c r="E22" s="16" t="str">
        <f>Aspects[[#This Row],[Men min]] &amp; " - " &amp; Aspects[[#This Row],[Men max]]</f>
        <v>8 - 20</v>
      </c>
      <c r="F22" s="13">
        <v>8</v>
      </c>
      <c r="G22" s="13">
        <v>20</v>
      </c>
      <c r="H22" s="16" t="str">
        <f>Aspects[[#This Row],[Cha min]] &amp; " - " &amp; Aspects[[#This Row],[Cha max]]</f>
        <v>8 - 20</v>
      </c>
      <c r="I22" s="13">
        <v>8</v>
      </c>
      <c r="J22" s="13">
        <v>20</v>
      </c>
      <c r="K22" s="14">
        <f>Aspects[[#This Row],[Phy min]]+Aspects[[#This Row],[Men min]]+Aspects[[#This Row],[Cha min]]</f>
        <v>22</v>
      </c>
      <c r="L22" s="14">
        <f>Aspects[[#This Row],[Phy max]]+Aspects[[#This Row],[Men max]]+Aspects[[#This Row],[Cha max]]</f>
        <v>58</v>
      </c>
      <c r="M22" s="14">
        <f>MAX(Aspects[[#This Row],[Max stats]]-Aspects[[#This Row],[Min stats]],0)</f>
        <v>36</v>
      </c>
      <c r="N22" s="12">
        <f>ROUNDUP(AVERAGE(Aspects[[#This Row],[Phy min]:[Phy max]])*WPHYSIC+AVERAGE(Aspects[[#This Row],[Men min]:[Men max]])*WMENTAL+AVERAGE(Aspects[[#This Row],[Cha min]:[Cha max]])*WCHARAC,0)</f>
        <v>9</v>
      </c>
      <c r="O22" s="2" t="s">
        <v>42</v>
      </c>
      <c r="P22" s="1" t="s">
        <v>9</v>
      </c>
      <c r="Q22" s="10" t="str">
        <f>IFERROR(VLOOKUP(Aspects[[#This Row],[Alignement]],Alignement[],2,FALSE),"")</f>
        <v>Neutre</v>
      </c>
      <c r="R22" s="10" t="str">
        <f>IFERROR(VLOOKUP(Aspects[[#This Row],[Alignement]],Alignement[],3,FALSE),"")</f>
        <v>Loyal</v>
      </c>
      <c r="S22" s="8">
        <f>IF(Aspects[[#This Row],[Men min]]&lt;8,0,1)</f>
        <v>1</v>
      </c>
      <c r="T22" s="8">
        <f>IF(OR(AND(Aspects[[#This Row],[Min stats]]&lt;=35,Aspects[[#This Row],[Loyauté]]&lt;&gt;"Loyal"),AND(Aspects[[#This Row],[Min stats]]&lt;=25,Aspects[[#This Row],[Loyauté]]="Loyal")),1,0)</f>
        <v>1</v>
      </c>
      <c r="U22" s="8">
        <f>IF(Aspects[[#This Row],[Max stats]]&gt;=43,1,0)</f>
        <v>1</v>
      </c>
      <c r="V22" s="8">
        <f>IF(OR(AND(Aspects[[#This Row],[Range stats]]&gt;=15,Aspects[[#This Row],[Range stats]]&lt;=27,Aspects[[#This Row],[Loyauté]]&lt;&gt;"Loyal"),AND(Aspects[[#This Row],[Range stats]]&gt;=27,Aspects[[#This Row],[Range stats]]&lt;=40,Aspects[[#This Row],[Loyauté]]="Loyal")),1,0)</f>
        <v>1</v>
      </c>
      <c r="W22" s="9"/>
    </row>
    <row r="23" spans="1:23" x14ac:dyDescent="0.25">
      <c r="A23" s="1" t="s">
        <v>16</v>
      </c>
      <c r="B23" s="16" t="str">
        <f>Aspects[[#This Row],[Phy min]] &amp; " - " &amp; Aspects[[#This Row],[Phy max]]</f>
        <v>8 - 13</v>
      </c>
      <c r="C23" s="13">
        <v>8</v>
      </c>
      <c r="D23" s="13">
        <v>13</v>
      </c>
      <c r="E23" s="16" t="str">
        <f>Aspects[[#This Row],[Men min]] &amp; " - " &amp; Aspects[[#This Row],[Men max]]</f>
        <v>10 - 20</v>
      </c>
      <c r="F23" s="13">
        <v>10</v>
      </c>
      <c r="G23" s="13">
        <v>20</v>
      </c>
      <c r="H23" s="16" t="str">
        <f>Aspects[[#This Row],[Cha min]] &amp; " - " &amp; Aspects[[#This Row],[Cha max]]</f>
        <v>5 - 15</v>
      </c>
      <c r="I23" s="13">
        <v>5</v>
      </c>
      <c r="J23" s="13">
        <v>15</v>
      </c>
      <c r="K23" s="14">
        <f>Aspects[[#This Row],[Phy min]]+Aspects[[#This Row],[Men min]]+Aspects[[#This Row],[Cha min]]</f>
        <v>23</v>
      </c>
      <c r="L23" s="14">
        <f>Aspects[[#This Row],[Phy max]]+Aspects[[#This Row],[Men max]]+Aspects[[#This Row],[Cha max]]</f>
        <v>48</v>
      </c>
      <c r="M23" s="14">
        <f>MAX(Aspects[[#This Row],[Max stats]]-Aspects[[#This Row],[Min stats]],0)</f>
        <v>25</v>
      </c>
      <c r="N23" s="12">
        <f>ROUNDUP(AVERAGE(Aspects[[#This Row],[Phy min]:[Phy max]])*WPHYSIC+AVERAGE(Aspects[[#This Row],[Men min]:[Men max]])*WMENTAL+AVERAGE(Aspects[[#This Row],[Cha min]:[Cha max]])*WCHARAC,0)</f>
        <v>8</v>
      </c>
      <c r="O23" s="2" t="s">
        <v>41</v>
      </c>
      <c r="P23" s="1" t="s">
        <v>5</v>
      </c>
      <c r="Q23" s="10" t="str">
        <f>IFERROR(VLOOKUP(Aspects[[#This Row],[Alignement]],Alignement[],2,FALSE),"")</f>
        <v>Neutre</v>
      </c>
      <c r="R23" s="10" t="str">
        <f>IFERROR(VLOOKUP(Aspects[[#This Row],[Alignement]],Alignement[],3,FALSE),"")</f>
        <v>Neutre</v>
      </c>
      <c r="S23" s="8">
        <f>IF(Aspects[[#This Row],[Men min]]&lt;8,0,1)</f>
        <v>1</v>
      </c>
      <c r="T23" s="8">
        <f>IF(OR(AND(Aspects[[#This Row],[Min stats]]&lt;=35,Aspects[[#This Row],[Loyauté]]&lt;&gt;"Loyal"),AND(Aspects[[#This Row],[Min stats]]&lt;=25,Aspects[[#This Row],[Loyauté]]="Loyal")),1,0)</f>
        <v>1</v>
      </c>
      <c r="U23" s="8">
        <f>IF(Aspects[[#This Row],[Max stats]]&gt;=43,1,0)</f>
        <v>1</v>
      </c>
      <c r="V23" s="8">
        <f>IF(OR(AND(Aspects[[#This Row],[Range stats]]&gt;=15,Aspects[[#This Row],[Range stats]]&lt;=27,Aspects[[#This Row],[Loyauté]]&lt;&gt;"Loyal"),AND(Aspects[[#This Row],[Range stats]]&gt;=27,Aspects[[#This Row],[Range stats]]&lt;=40,Aspects[[#This Row],[Loyauté]]="Loyal")),1,0)</f>
        <v>1</v>
      </c>
      <c r="W23" s="9"/>
    </row>
    <row r="24" spans="1:23" x14ac:dyDescent="0.25">
      <c r="A24" s="1" t="s">
        <v>49</v>
      </c>
      <c r="B24" s="16" t="str">
        <f>Aspects[[#This Row],[Phy min]] &amp; " - " &amp; Aspects[[#This Row],[Phy max]]</f>
        <v>18 - 28</v>
      </c>
      <c r="C24" s="13">
        <v>18</v>
      </c>
      <c r="D24" s="13">
        <v>28</v>
      </c>
      <c r="E24" s="16" t="str">
        <f>Aspects[[#This Row],[Men min]] &amp; " - " &amp; Aspects[[#This Row],[Men max]]</f>
        <v>0 - 10</v>
      </c>
      <c r="F24" s="13">
        <v>0</v>
      </c>
      <c r="G24" s="13">
        <v>10</v>
      </c>
      <c r="H24" s="16" t="str">
        <f>Aspects[[#This Row],[Cha min]] &amp; " - " &amp; Aspects[[#This Row],[Cha max]]</f>
        <v>3 - 10</v>
      </c>
      <c r="I24" s="13">
        <v>3</v>
      </c>
      <c r="J24" s="13">
        <v>10</v>
      </c>
      <c r="K24" s="14">
        <f>Aspects[[#This Row],[Phy min]]+Aspects[[#This Row],[Men min]]+Aspects[[#This Row],[Cha min]]</f>
        <v>21</v>
      </c>
      <c r="L24" s="14">
        <f>Aspects[[#This Row],[Phy max]]+Aspects[[#This Row],[Men max]]+Aspects[[#This Row],[Cha max]]</f>
        <v>48</v>
      </c>
      <c r="M24" s="14">
        <f>MAX(Aspects[[#This Row],[Max stats]]-Aspects[[#This Row],[Min stats]],0)</f>
        <v>27</v>
      </c>
      <c r="N24" s="12">
        <f>ROUNDUP(AVERAGE(Aspects[[#This Row],[Phy min]:[Phy max]])*WPHYSIC+AVERAGE(Aspects[[#This Row],[Men min]:[Men max]])*WMENTAL+AVERAGE(Aspects[[#This Row],[Cha min]:[Cha max]])*WCHARAC,0)</f>
        <v>7</v>
      </c>
      <c r="O24" s="2" t="s">
        <v>38</v>
      </c>
      <c r="P24" s="1" t="s">
        <v>4</v>
      </c>
      <c r="Q24" s="10" t="str">
        <f>IFERROR(VLOOKUP(Aspects[[#This Row],[Alignement]],Alignement[],2,FALSE),"")</f>
        <v>Neutre</v>
      </c>
      <c r="R24" s="10" t="str">
        <f>IFERROR(VLOOKUP(Aspects[[#This Row],[Alignement]],Alignement[],3,FALSE),"")</f>
        <v>Chaotique</v>
      </c>
      <c r="S24" s="8">
        <f>IF(Aspects[[#This Row],[Men min]]&lt;8,0,1)</f>
        <v>0</v>
      </c>
      <c r="T24" s="8">
        <f>IF(OR(AND(Aspects[[#This Row],[Min stats]]&lt;=35,Aspects[[#This Row],[Loyauté]]&lt;&gt;"Loyal"),AND(Aspects[[#This Row],[Min stats]]&lt;=25,Aspects[[#This Row],[Loyauté]]="Loyal")),1,0)</f>
        <v>1</v>
      </c>
      <c r="U24" s="8">
        <f>IF(Aspects[[#This Row],[Max stats]]&gt;=43,1,0)</f>
        <v>1</v>
      </c>
      <c r="V24" s="8">
        <f>IF(OR(AND(Aspects[[#This Row],[Range stats]]&gt;=15,Aspects[[#This Row],[Range stats]]&lt;=27,Aspects[[#This Row],[Loyauté]]&lt;&gt;"Loyal"),AND(Aspects[[#This Row],[Range stats]]&gt;=27,Aspects[[#This Row],[Range stats]]&lt;=40,Aspects[[#This Row],[Loyauté]]="Loyal")),1,0)</f>
        <v>1</v>
      </c>
      <c r="W24" s="9"/>
    </row>
    <row r="25" spans="1:23" x14ac:dyDescent="0.25">
      <c r="A25" s="1" t="s">
        <v>19</v>
      </c>
      <c r="B25" s="16" t="str">
        <f>Aspects[[#This Row],[Phy min]] &amp; " - " &amp; Aspects[[#This Row],[Phy max]]</f>
        <v>10 - 20</v>
      </c>
      <c r="C25" s="13">
        <v>10</v>
      </c>
      <c r="D25" s="13">
        <v>20</v>
      </c>
      <c r="E25" s="16" t="str">
        <f>Aspects[[#This Row],[Men min]] &amp; " - " &amp; Aspects[[#This Row],[Men max]]</f>
        <v>10 - 18</v>
      </c>
      <c r="F25" s="13">
        <v>10</v>
      </c>
      <c r="G25" s="13">
        <v>18</v>
      </c>
      <c r="H25" s="16" t="str">
        <f>Aspects[[#This Row],[Cha min]] &amp; " - " &amp; Aspects[[#This Row],[Cha max]]</f>
        <v>12 - 20</v>
      </c>
      <c r="I25" s="13">
        <v>12</v>
      </c>
      <c r="J25" s="13">
        <v>20</v>
      </c>
      <c r="K25" s="14">
        <f>Aspects[[#This Row],[Phy min]]+Aspects[[#This Row],[Men min]]+Aspects[[#This Row],[Cha min]]</f>
        <v>32</v>
      </c>
      <c r="L25" s="14">
        <f>Aspects[[#This Row],[Phy max]]+Aspects[[#This Row],[Men max]]+Aspects[[#This Row],[Cha max]]</f>
        <v>58</v>
      </c>
      <c r="M25" s="14">
        <f>MAX(Aspects[[#This Row],[Max stats]]-Aspects[[#This Row],[Min stats]],0)</f>
        <v>26</v>
      </c>
      <c r="N25" s="12">
        <f>ROUNDUP(AVERAGE(Aspects[[#This Row],[Phy min]:[Phy max]])*WPHYSIC+AVERAGE(Aspects[[#This Row],[Men min]:[Men max]])*WMENTAL+AVERAGE(Aspects[[#This Row],[Cha min]:[Cha max]])*WCHARAC,0)</f>
        <v>10</v>
      </c>
      <c r="O25" s="2" t="s">
        <v>43</v>
      </c>
      <c r="P25" s="1" t="s">
        <v>0</v>
      </c>
      <c r="Q25" s="10" t="str">
        <f>IFERROR(VLOOKUP(Aspects[[#This Row],[Alignement]],Alignement[],2,FALSE),"")</f>
        <v>Mauvais</v>
      </c>
      <c r="R25" s="10" t="str">
        <f>IFERROR(VLOOKUP(Aspects[[#This Row],[Alignement]],Alignement[],3,FALSE),"")</f>
        <v>Neutre</v>
      </c>
      <c r="S25" s="8">
        <f>IF(Aspects[[#This Row],[Men min]]&lt;8,0,1)</f>
        <v>1</v>
      </c>
      <c r="T25" s="8">
        <f>IF(OR(AND(Aspects[[#This Row],[Min stats]]&lt;=35,Aspects[[#This Row],[Loyauté]]&lt;&gt;"Loyal"),AND(Aspects[[#This Row],[Min stats]]&lt;=25,Aspects[[#This Row],[Loyauté]]="Loyal")),1,0)</f>
        <v>1</v>
      </c>
      <c r="U25" s="8">
        <f>IF(Aspects[[#This Row],[Max stats]]&gt;=43,1,0)</f>
        <v>1</v>
      </c>
      <c r="V25" s="8">
        <f>IF(OR(AND(Aspects[[#This Row],[Range stats]]&gt;=15,Aspects[[#This Row],[Range stats]]&lt;=27,Aspects[[#This Row],[Loyauté]]&lt;&gt;"Loyal"),AND(Aspects[[#This Row],[Range stats]]&gt;=27,Aspects[[#This Row],[Range stats]]&lt;=40,Aspects[[#This Row],[Loyauté]]="Loyal")),1,0)</f>
        <v>1</v>
      </c>
      <c r="W25" s="9"/>
    </row>
    <row r="26" spans="1:23" x14ac:dyDescent="0.25">
      <c r="A26" s="1" t="s">
        <v>50</v>
      </c>
      <c r="B26" s="16" t="str">
        <f>Aspects[[#This Row],[Phy min]] &amp; " - " &amp; Aspects[[#This Row],[Phy max]]</f>
        <v>15 - 27</v>
      </c>
      <c r="C26" s="13">
        <v>15</v>
      </c>
      <c r="D26" s="13">
        <v>27</v>
      </c>
      <c r="E26" s="16" t="str">
        <f>Aspects[[#This Row],[Men min]] &amp; " - " &amp; Aspects[[#This Row],[Men max]]</f>
        <v>10 - 15</v>
      </c>
      <c r="F26" s="13">
        <v>10</v>
      </c>
      <c r="G26" s="13">
        <v>15</v>
      </c>
      <c r="H26" s="16" t="str">
        <f>Aspects[[#This Row],[Cha min]] &amp; " - " &amp; Aspects[[#This Row],[Cha max]]</f>
        <v>10 - 20</v>
      </c>
      <c r="I26" s="13">
        <v>10</v>
      </c>
      <c r="J26" s="13">
        <v>20</v>
      </c>
      <c r="K26" s="14">
        <f>Aspects[[#This Row],[Phy min]]+Aspects[[#This Row],[Men min]]+Aspects[[#This Row],[Cha min]]</f>
        <v>35</v>
      </c>
      <c r="L26" s="14">
        <f>Aspects[[#This Row],[Phy max]]+Aspects[[#This Row],[Men max]]+Aspects[[#This Row],[Cha max]]</f>
        <v>62</v>
      </c>
      <c r="M26" s="14">
        <f>MAX(Aspects[[#This Row],[Max stats]]-Aspects[[#This Row],[Min stats]],0)</f>
        <v>27</v>
      </c>
      <c r="N26" s="12">
        <f>ROUNDUP(AVERAGE(Aspects[[#This Row],[Phy min]:[Phy max]])*WPHYSIC+AVERAGE(Aspects[[#This Row],[Men min]:[Men max]])*WMENTAL+AVERAGE(Aspects[[#This Row],[Cha min]:[Cha max]])*WCHARAC,0)</f>
        <v>11</v>
      </c>
      <c r="O26" s="2" t="s">
        <v>39</v>
      </c>
      <c r="P26" s="1" t="s">
        <v>8</v>
      </c>
      <c r="Q26" s="10" t="str">
        <f>IFERROR(VLOOKUP(Aspects[[#This Row],[Alignement]],Alignement[],2,FALSE),"")</f>
        <v>Mauvais</v>
      </c>
      <c r="R26" s="10" t="str">
        <f>IFERROR(VLOOKUP(Aspects[[#This Row],[Alignement]],Alignement[],3,FALSE),"")</f>
        <v>Chaotique</v>
      </c>
      <c r="S26" s="8">
        <f>IF(Aspects[[#This Row],[Men min]]&lt;8,0,1)</f>
        <v>1</v>
      </c>
      <c r="T26" s="8">
        <f>IF(OR(AND(Aspects[[#This Row],[Min stats]]&lt;=35,Aspects[[#This Row],[Loyauté]]&lt;&gt;"Loyal"),AND(Aspects[[#This Row],[Min stats]]&lt;=25,Aspects[[#This Row],[Loyauté]]="Loyal")),1,0)</f>
        <v>1</v>
      </c>
      <c r="U26" s="8">
        <f>IF(Aspects[[#This Row],[Max stats]]&gt;=43,1,0)</f>
        <v>1</v>
      </c>
      <c r="V26" s="8">
        <f>IF(OR(AND(Aspects[[#This Row],[Range stats]]&gt;=15,Aspects[[#This Row],[Range stats]]&lt;=27,Aspects[[#This Row],[Loyauté]]&lt;&gt;"Loyal"),AND(Aspects[[#This Row],[Range stats]]&gt;=27,Aspects[[#This Row],[Range stats]]&lt;=40,Aspects[[#This Row],[Loyauté]]="Loyal")),1,0)</f>
        <v>1</v>
      </c>
      <c r="W26" s="9"/>
    </row>
    <row r="27" spans="1:23" x14ac:dyDescent="0.25">
      <c r="A27" s="1" t="s">
        <v>63</v>
      </c>
      <c r="B27" s="16" t="str">
        <f>Aspects[[#This Row],[Phy min]] &amp; " - " &amp; Aspects[[#This Row],[Phy max]]</f>
        <v>12 - 20</v>
      </c>
      <c r="C27" s="13">
        <v>12</v>
      </c>
      <c r="D27" s="13">
        <v>20</v>
      </c>
      <c r="E27" s="16" t="str">
        <f>Aspects[[#This Row],[Men min]] &amp; " - " &amp; Aspects[[#This Row],[Men max]]</f>
        <v>8 - 18</v>
      </c>
      <c r="F27" s="13">
        <v>8</v>
      </c>
      <c r="G27" s="13">
        <v>18</v>
      </c>
      <c r="H27" s="16" t="str">
        <f>Aspects[[#This Row],[Cha min]] &amp; " - " &amp; Aspects[[#This Row],[Cha max]]</f>
        <v>12 - 20</v>
      </c>
      <c r="I27" s="13">
        <v>12</v>
      </c>
      <c r="J27" s="13">
        <v>20</v>
      </c>
      <c r="K27" s="14">
        <f>Aspects[[#This Row],[Phy min]]+Aspects[[#This Row],[Men min]]+Aspects[[#This Row],[Cha min]]</f>
        <v>32</v>
      </c>
      <c r="L27" s="14">
        <f>Aspects[[#This Row],[Phy max]]+Aspects[[#This Row],[Men max]]+Aspects[[#This Row],[Cha max]]</f>
        <v>58</v>
      </c>
      <c r="M27" s="14">
        <f>MAX(Aspects[[#This Row],[Max stats]]-Aspects[[#This Row],[Min stats]],0)</f>
        <v>26</v>
      </c>
      <c r="N27" s="12">
        <f>ROUNDUP(AVERAGE(Aspects[[#This Row],[Phy min]:[Phy max]])*WPHYSIC+AVERAGE(Aspects[[#This Row],[Men min]:[Men max]])*WMENTAL+AVERAGE(Aspects[[#This Row],[Cha min]:[Cha max]])*WCHARAC,0)</f>
        <v>10</v>
      </c>
      <c r="O27" s="2" t="s">
        <v>43</v>
      </c>
      <c r="P27" s="1" t="s">
        <v>8</v>
      </c>
      <c r="Q27" s="10" t="str">
        <f>IFERROR(VLOOKUP(Aspects[[#This Row],[Alignement]],Alignement[],2,FALSE),"")</f>
        <v>Mauvais</v>
      </c>
      <c r="R27" s="10" t="str">
        <f>IFERROR(VLOOKUP(Aspects[[#This Row],[Alignement]],Alignement[],3,FALSE),"")</f>
        <v>Chaotique</v>
      </c>
      <c r="S27" s="8">
        <f>IF(Aspects[[#This Row],[Men min]]&lt;8,0,1)</f>
        <v>1</v>
      </c>
      <c r="T27" s="8">
        <f>IF(OR(AND(Aspects[[#This Row],[Min stats]]&lt;=35,Aspects[[#This Row],[Loyauté]]&lt;&gt;"Loyal"),AND(Aspects[[#This Row],[Min stats]]&lt;=25,Aspects[[#This Row],[Loyauté]]="Loyal")),1,0)</f>
        <v>1</v>
      </c>
      <c r="U27" s="8">
        <f>IF(Aspects[[#This Row],[Max stats]]&gt;=43,1,0)</f>
        <v>1</v>
      </c>
      <c r="V27" s="8">
        <f>IF(OR(AND(Aspects[[#This Row],[Range stats]]&gt;=15,Aspects[[#This Row],[Range stats]]&lt;=27,Aspects[[#This Row],[Loyauté]]&lt;&gt;"Loyal"),AND(Aspects[[#This Row],[Range stats]]&gt;=27,Aspects[[#This Row],[Range stats]]&lt;=40,Aspects[[#This Row],[Loyauté]]="Loyal")),1,0)</f>
        <v>1</v>
      </c>
      <c r="W27" s="9"/>
    </row>
    <row r="28" spans="1:23" x14ac:dyDescent="0.25">
      <c r="A28" s="1" t="s">
        <v>79</v>
      </c>
      <c r="B28" s="16" t="str">
        <f>Aspects[[#This Row],[Phy min]] &amp; " - " &amp; Aspects[[#This Row],[Phy max]]</f>
        <v>15 - 23</v>
      </c>
      <c r="C28" s="13">
        <v>15</v>
      </c>
      <c r="D28" s="13">
        <v>23</v>
      </c>
      <c r="E28" s="16" t="str">
        <f>Aspects[[#This Row],[Men min]] &amp; " - " &amp; Aspects[[#This Row],[Men max]]</f>
        <v>8 - 15</v>
      </c>
      <c r="F28" s="13">
        <v>8</v>
      </c>
      <c r="G28" s="13">
        <v>15</v>
      </c>
      <c r="H28" s="16" t="str">
        <f>Aspects[[#This Row],[Cha min]] &amp; " - " &amp; Aspects[[#This Row],[Cha max]]</f>
        <v>10 - 18</v>
      </c>
      <c r="I28" s="13">
        <v>10</v>
      </c>
      <c r="J28" s="13">
        <v>18</v>
      </c>
      <c r="K28" s="14">
        <f>Aspects[[#This Row],[Phy min]]+Aspects[[#This Row],[Men min]]+Aspects[[#This Row],[Cha min]]</f>
        <v>33</v>
      </c>
      <c r="L28" s="14">
        <f>Aspects[[#This Row],[Phy max]]+Aspects[[#This Row],[Men max]]+Aspects[[#This Row],[Cha max]]</f>
        <v>56</v>
      </c>
      <c r="M28" s="14">
        <f>MAX(Aspects[[#This Row],[Max stats]]-Aspects[[#This Row],[Min stats]],0)</f>
        <v>23</v>
      </c>
      <c r="N28" s="12">
        <f>ROUNDUP(AVERAGE(Aspects[[#This Row],[Phy min]:[Phy max]])*WPHYSIC+AVERAGE(Aspects[[#This Row],[Men min]:[Men max]])*WMENTAL+AVERAGE(Aspects[[#This Row],[Cha min]:[Cha max]])*WCHARAC,0)</f>
        <v>10</v>
      </c>
      <c r="O28" s="2" t="s">
        <v>38</v>
      </c>
      <c r="P28" s="1" t="s">
        <v>6</v>
      </c>
      <c r="Q28" s="10" t="str">
        <f>IFERROR(VLOOKUP(Aspects[[#This Row],[Alignement]],Alignement[],2,FALSE),"")</f>
        <v>Bon</v>
      </c>
      <c r="R28" s="10" t="str">
        <f>IFERROR(VLOOKUP(Aspects[[#This Row],[Alignement]],Alignement[],3,FALSE),"")</f>
        <v>Chaotique</v>
      </c>
      <c r="S28" s="8">
        <f>IF(Aspects[[#This Row],[Men min]]&lt;8,0,1)</f>
        <v>1</v>
      </c>
      <c r="T28" s="8">
        <f>IF(OR(AND(Aspects[[#This Row],[Min stats]]&lt;=35,Aspects[[#This Row],[Loyauté]]&lt;&gt;"Loyal"),AND(Aspects[[#This Row],[Min stats]]&lt;=25,Aspects[[#This Row],[Loyauté]]="Loyal")),1,0)</f>
        <v>1</v>
      </c>
      <c r="U28" s="8">
        <f>IF(Aspects[[#This Row],[Max stats]]&gt;=43,1,0)</f>
        <v>1</v>
      </c>
      <c r="V28" s="8">
        <f>IF(OR(AND(Aspects[[#This Row],[Range stats]]&gt;=15,Aspects[[#This Row],[Range stats]]&lt;=27,Aspects[[#This Row],[Loyauté]]&lt;&gt;"Loyal"),AND(Aspects[[#This Row],[Range stats]]&gt;=27,Aspects[[#This Row],[Range stats]]&lt;=40,Aspects[[#This Row],[Loyauté]]="Loyal")),1,0)</f>
        <v>1</v>
      </c>
      <c r="W28" s="9"/>
    </row>
    <row r="29" spans="1:23" x14ac:dyDescent="0.25">
      <c r="A29" t="s">
        <v>44</v>
      </c>
      <c r="B29" s="16" t="str">
        <f>Aspects[[#This Row],[Phy min]] &amp; " - " &amp; Aspects[[#This Row],[Phy max]]</f>
        <v>8 - 18</v>
      </c>
      <c r="C29" s="13">
        <v>8</v>
      </c>
      <c r="D29" s="13">
        <v>18</v>
      </c>
      <c r="E29" s="16" t="str">
        <f>Aspects[[#This Row],[Men min]] &amp; " - " &amp; Aspects[[#This Row],[Men max]]</f>
        <v>12 - 20</v>
      </c>
      <c r="F29" s="13">
        <v>12</v>
      </c>
      <c r="G29" s="13">
        <v>20</v>
      </c>
      <c r="H29" s="16" t="str">
        <f>Aspects[[#This Row],[Cha min]] &amp; " - " &amp; Aspects[[#This Row],[Cha max]]</f>
        <v>5 - 12</v>
      </c>
      <c r="I29" s="13">
        <v>5</v>
      </c>
      <c r="J29" s="13">
        <v>12</v>
      </c>
      <c r="K29" s="14">
        <f>Aspects[[#This Row],[Phy min]]+Aspects[[#This Row],[Men min]]+Aspects[[#This Row],[Cha min]]</f>
        <v>25</v>
      </c>
      <c r="L29" s="14">
        <f>Aspects[[#This Row],[Phy max]]+Aspects[[#This Row],[Men max]]+Aspects[[#This Row],[Cha max]]</f>
        <v>50</v>
      </c>
      <c r="M29" s="14">
        <f>MAX(Aspects[[#This Row],[Max stats]]-Aspects[[#This Row],[Min stats]],0)</f>
        <v>25</v>
      </c>
      <c r="N29" s="12">
        <f>ROUNDUP(AVERAGE(Aspects[[#This Row],[Phy min]:[Phy max]])*WPHYSIC+AVERAGE(Aspects[[#This Row],[Men min]:[Men max]])*WMENTAL+AVERAGE(Aspects[[#This Row],[Cha min]:[Cha max]])*WCHARAC,0)</f>
        <v>8</v>
      </c>
      <c r="O29" s="2" t="s">
        <v>40</v>
      </c>
      <c r="P29" s="1" t="s">
        <v>6</v>
      </c>
      <c r="Q29" s="10" t="str">
        <f>IFERROR(VLOOKUP(Aspects[[#This Row],[Alignement]],Alignement[],2,FALSE),"")</f>
        <v>Bon</v>
      </c>
      <c r="R29" s="10" t="str">
        <f>IFERROR(VLOOKUP(Aspects[[#This Row],[Alignement]],Alignement[],3,FALSE),"")</f>
        <v>Chaotique</v>
      </c>
      <c r="S29" s="8">
        <f>IF(Aspects[[#This Row],[Men min]]&lt;8,0,1)</f>
        <v>1</v>
      </c>
      <c r="T29" s="8">
        <f>IF(OR(AND(Aspects[[#This Row],[Min stats]]&lt;=35,Aspects[[#This Row],[Loyauté]]&lt;&gt;"Loyal"),AND(Aspects[[#This Row],[Min stats]]&lt;=25,Aspects[[#This Row],[Loyauté]]="Loyal")),1,0)</f>
        <v>1</v>
      </c>
      <c r="U29" s="8">
        <f>IF(Aspects[[#This Row],[Max stats]]&gt;=43,1,0)</f>
        <v>1</v>
      </c>
      <c r="V29" s="8">
        <f>IF(OR(AND(Aspects[[#This Row],[Range stats]]&gt;=15,Aspects[[#This Row],[Range stats]]&lt;=27,Aspects[[#This Row],[Loyauté]]&lt;&gt;"Loyal"),AND(Aspects[[#This Row],[Range stats]]&gt;=27,Aspects[[#This Row],[Range stats]]&lt;=40,Aspects[[#This Row],[Loyauté]]="Loyal")),1,0)</f>
        <v>1</v>
      </c>
      <c r="W29" s="9"/>
    </row>
    <row r="30" spans="1:23" x14ac:dyDescent="0.25">
      <c r="A30" s="1" t="s">
        <v>48</v>
      </c>
      <c r="B30" s="16" t="str">
        <f>Aspects[[#This Row],[Phy min]] &amp; " - " &amp; Aspects[[#This Row],[Phy max]]</f>
        <v>17 - 28</v>
      </c>
      <c r="C30" s="13">
        <v>17</v>
      </c>
      <c r="D30" s="13">
        <v>28</v>
      </c>
      <c r="E30" s="16" t="str">
        <f>Aspects[[#This Row],[Men min]] &amp; " - " &amp; Aspects[[#This Row],[Men max]]</f>
        <v>8 - 15</v>
      </c>
      <c r="F30" s="13">
        <v>8</v>
      </c>
      <c r="G30" s="13">
        <v>15</v>
      </c>
      <c r="H30" s="16" t="str">
        <f>Aspects[[#This Row],[Cha min]] &amp; " - " &amp; Aspects[[#This Row],[Cha max]]</f>
        <v>10 - 18</v>
      </c>
      <c r="I30" s="13">
        <v>10</v>
      </c>
      <c r="J30" s="13">
        <v>18</v>
      </c>
      <c r="K30" s="14">
        <f>Aspects[[#This Row],[Phy min]]+Aspects[[#This Row],[Men min]]+Aspects[[#This Row],[Cha min]]</f>
        <v>35</v>
      </c>
      <c r="L30" s="14">
        <f>Aspects[[#This Row],[Phy max]]+Aspects[[#This Row],[Men max]]+Aspects[[#This Row],[Cha max]]</f>
        <v>61</v>
      </c>
      <c r="M30" s="14">
        <f>MAX(Aspects[[#This Row],[Max stats]]-Aspects[[#This Row],[Min stats]],0)</f>
        <v>26</v>
      </c>
      <c r="N30" s="12">
        <f>ROUNDUP(AVERAGE(Aspects[[#This Row],[Phy min]:[Phy max]])*WPHYSIC+AVERAGE(Aspects[[#This Row],[Men min]:[Men max]])*WMENTAL+AVERAGE(Aspects[[#This Row],[Cha min]:[Cha max]])*WCHARAC,0)</f>
        <v>10</v>
      </c>
      <c r="O30" s="2" t="s">
        <v>37</v>
      </c>
      <c r="P30" s="1" t="s">
        <v>8</v>
      </c>
      <c r="Q30" s="10" t="str">
        <f>IFERROR(VLOOKUP(Aspects[[#This Row],[Alignement]],Alignement[],2,FALSE),"")</f>
        <v>Mauvais</v>
      </c>
      <c r="R30" s="10" t="str">
        <f>IFERROR(VLOOKUP(Aspects[[#This Row],[Alignement]],Alignement[],3,FALSE),"")</f>
        <v>Chaotique</v>
      </c>
      <c r="S30" s="8">
        <f>IF(Aspects[[#This Row],[Men min]]&lt;8,0,1)</f>
        <v>1</v>
      </c>
      <c r="T30" s="8">
        <f>IF(OR(AND(Aspects[[#This Row],[Min stats]]&lt;=35,Aspects[[#This Row],[Loyauté]]&lt;&gt;"Loyal"),AND(Aspects[[#This Row],[Min stats]]&lt;=25,Aspects[[#This Row],[Loyauté]]="Loyal")),1,0)</f>
        <v>1</v>
      </c>
      <c r="U30" s="8">
        <f>IF(Aspects[[#This Row],[Max stats]]&gt;=43,1,0)</f>
        <v>1</v>
      </c>
      <c r="V30" s="8">
        <f>IF(OR(AND(Aspects[[#This Row],[Range stats]]&gt;=15,Aspects[[#This Row],[Range stats]]&lt;=27,Aspects[[#This Row],[Loyauté]]&lt;&gt;"Loyal"),AND(Aspects[[#This Row],[Range stats]]&gt;=27,Aspects[[#This Row],[Range stats]]&lt;=40,Aspects[[#This Row],[Loyauté]]="Loyal")),1,0)</f>
        <v>1</v>
      </c>
      <c r="W30" s="9"/>
    </row>
    <row r="31" spans="1:23" x14ac:dyDescent="0.25">
      <c r="A31" s="1" t="s">
        <v>20</v>
      </c>
      <c r="B31" s="16" t="str">
        <f>Aspects[[#This Row],[Phy min]] &amp; " - " &amp; Aspects[[#This Row],[Phy max]]</f>
        <v>18 - 22</v>
      </c>
      <c r="C31" s="13">
        <v>18</v>
      </c>
      <c r="D31" s="13">
        <v>22</v>
      </c>
      <c r="E31" s="16" t="str">
        <f>Aspects[[#This Row],[Men min]] &amp; " - " &amp; Aspects[[#This Row],[Men max]]</f>
        <v>3 - 13</v>
      </c>
      <c r="F31" s="13">
        <v>3</v>
      </c>
      <c r="G31" s="13">
        <v>13</v>
      </c>
      <c r="H31" s="16" t="str">
        <f>Aspects[[#This Row],[Cha min]] &amp; " - " &amp; Aspects[[#This Row],[Cha max]]</f>
        <v>10 - 20</v>
      </c>
      <c r="I31" s="13">
        <v>10</v>
      </c>
      <c r="J31" s="13">
        <v>20</v>
      </c>
      <c r="K31" s="14">
        <f>Aspects[[#This Row],[Phy min]]+Aspects[[#This Row],[Men min]]+Aspects[[#This Row],[Cha min]]</f>
        <v>31</v>
      </c>
      <c r="L31" s="14">
        <f>Aspects[[#This Row],[Phy max]]+Aspects[[#This Row],[Men max]]+Aspects[[#This Row],[Cha max]]</f>
        <v>55</v>
      </c>
      <c r="M31" s="14">
        <f>MAX(Aspects[[#This Row],[Max stats]]-Aspects[[#This Row],[Min stats]],0)</f>
        <v>24</v>
      </c>
      <c r="N31" s="12">
        <f>ROUNDUP(AVERAGE(Aspects[[#This Row],[Phy min]:[Phy max]])*WPHYSIC+AVERAGE(Aspects[[#This Row],[Men min]:[Men max]])*WMENTAL+AVERAGE(Aspects[[#This Row],[Cha min]:[Cha max]])*WCHARAC,0)</f>
        <v>10</v>
      </c>
      <c r="O31" s="2" t="s">
        <v>37</v>
      </c>
      <c r="P31" s="1" t="s">
        <v>8</v>
      </c>
      <c r="Q31" s="10" t="str">
        <f>IFERROR(VLOOKUP(Aspects[[#This Row],[Alignement]],Alignement[],2,FALSE),"")</f>
        <v>Mauvais</v>
      </c>
      <c r="R31" s="10" t="str">
        <f>IFERROR(VLOOKUP(Aspects[[#This Row],[Alignement]],Alignement[],3,FALSE),"")</f>
        <v>Chaotique</v>
      </c>
      <c r="S31" s="8">
        <f>IF(Aspects[[#This Row],[Men min]]&lt;8,0,1)</f>
        <v>0</v>
      </c>
      <c r="T31" s="8">
        <f>IF(OR(AND(Aspects[[#This Row],[Min stats]]&lt;=35,Aspects[[#This Row],[Loyauté]]&lt;&gt;"Loyal"),AND(Aspects[[#This Row],[Min stats]]&lt;=25,Aspects[[#This Row],[Loyauté]]="Loyal")),1,0)</f>
        <v>1</v>
      </c>
      <c r="U31" s="8">
        <f>IF(Aspects[[#This Row],[Max stats]]&gt;=43,1,0)</f>
        <v>1</v>
      </c>
      <c r="V31" s="8">
        <f>IF(OR(AND(Aspects[[#This Row],[Range stats]]&gt;=15,Aspects[[#This Row],[Range stats]]&lt;=27,Aspects[[#This Row],[Loyauté]]&lt;&gt;"Loyal"),AND(Aspects[[#This Row],[Range stats]]&gt;=27,Aspects[[#This Row],[Range stats]]&lt;=40,Aspects[[#This Row],[Loyauté]]="Loyal")),1,0)</f>
        <v>1</v>
      </c>
      <c r="W31" s="9"/>
    </row>
    <row r="32" spans="1:23" x14ac:dyDescent="0.25">
      <c r="A32" s="1" t="s">
        <v>56</v>
      </c>
      <c r="B32" s="16" t="str">
        <f>Aspects[[#This Row],[Phy min]] &amp; " - " &amp; Aspects[[#This Row],[Phy max]]</f>
        <v>12 - 25</v>
      </c>
      <c r="C32" s="13">
        <v>12</v>
      </c>
      <c r="D32" s="13">
        <v>25</v>
      </c>
      <c r="E32" s="16" t="str">
        <f>Aspects[[#This Row],[Men min]] &amp; " - " &amp; Aspects[[#This Row],[Men max]]</f>
        <v>8 - 20</v>
      </c>
      <c r="F32" s="13">
        <v>8</v>
      </c>
      <c r="G32" s="13">
        <v>20</v>
      </c>
      <c r="H32" s="16" t="str">
        <f>Aspects[[#This Row],[Cha min]] &amp; " - " &amp; Aspects[[#This Row],[Cha max]]</f>
        <v>5 - 18</v>
      </c>
      <c r="I32" s="13">
        <v>5</v>
      </c>
      <c r="J32" s="13">
        <v>18</v>
      </c>
      <c r="K32" s="14">
        <f>Aspects[[#This Row],[Phy min]]+Aspects[[#This Row],[Men min]]+Aspects[[#This Row],[Cha min]]</f>
        <v>25</v>
      </c>
      <c r="L32" s="14">
        <f>Aspects[[#This Row],[Phy max]]+Aspects[[#This Row],[Men max]]+Aspects[[#This Row],[Cha max]]</f>
        <v>63</v>
      </c>
      <c r="M32" s="14">
        <f>MAX(Aspects[[#This Row],[Max stats]]-Aspects[[#This Row],[Min stats]],0)</f>
        <v>38</v>
      </c>
      <c r="N32" s="12">
        <f>ROUNDUP(AVERAGE(Aspects[[#This Row],[Phy min]:[Phy max]])*WPHYSIC+AVERAGE(Aspects[[#This Row],[Men min]:[Men max]])*WMENTAL+AVERAGE(Aspects[[#This Row],[Cha min]:[Cha max]])*WCHARAC,0)</f>
        <v>10</v>
      </c>
      <c r="O32" s="2" t="s">
        <v>39</v>
      </c>
      <c r="P32" s="1" t="s">
        <v>11</v>
      </c>
      <c r="Q32" s="10" t="str">
        <f>IFERROR(VLOOKUP(Aspects[[#This Row],[Alignement]],Alignement[],2,FALSE),"")</f>
        <v>Mauvais</v>
      </c>
      <c r="R32" s="10" t="str">
        <f>IFERROR(VLOOKUP(Aspects[[#This Row],[Alignement]],Alignement[],3,FALSE),"")</f>
        <v>Loyal</v>
      </c>
      <c r="S32" s="8">
        <f>IF(Aspects[[#This Row],[Men min]]&lt;8,0,1)</f>
        <v>1</v>
      </c>
      <c r="T32" s="8">
        <f>IF(OR(AND(Aspects[[#This Row],[Min stats]]&lt;=35,Aspects[[#This Row],[Loyauté]]&lt;&gt;"Loyal"),AND(Aspects[[#This Row],[Min stats]]&lt;=25,Aspects[[#This Row],[Loyauté]]="Loyal")),1,0)</f>
        <v>1</v>
      </c>
      <c r="U32" s="8">
        <f>IF(Aspects[[#This Row],[Max stats]]&gt;=43,1,0)</f>
        <v>1</v>
      </c>
      <c r="V32" s="8">
        <f>IF(OR(AND(Aspects[[#This Row],[Range stats]]&gt;=15,Aspects[[#This Row],[Range stats]]&lt;=27,Aspects[[#This Row],[Loyauté]]&lt;&gt;"Loyal"),AND(Aspects[[#This Row],[Range stats]]&gt;=27,Aspects[[#This Row],[Range stats]]&lt;=40,Aspects[[#This Row],[Loyauté]]="Loyal")),1,0)</f>
        <v>1</v>
      </c>
      <c r="W32" s="9"/>
    </row>
    <row r="33" spans="1:23" x14ac:dyDescent="0.25">
      <c r="A33" s="1" t="s">
        <v>55</v>
      </c>
      <c r="B33" s="16" t="str">
        <f>Aspects[[#This Row],[Phy min]] &amp; " - " &amp; Aspects[[#This Row],[Phy max]]</f>
        <v>18 - 25</v>
      </c>
      <c r="C33" s="13">
        <v>18</v>
      </c>
      <c r="D33" s="13">
        <v>25</v>
      </c>
      <c r="E33" s="16" t="str">
        <f>Aspects[[#This Row],[Men min]] &amp; " - " &amp; Aspects[[#This Row],[Men max]]</f>
        <v>12 - 20</v>
      </c>
      <c r="F33" s="13">
        <v>12</v>
      </c>
      <c r="G33" s="13">
        <v>20</v>
      </c>
      <c r="H33" s="16" t="str">
        <f>Aspects[[#This Row],[Cha min]] &amp; " - " &amp; Aspects[[#This Row],[Cha max]]</f>
        <v>0 - 8</v>
      </c>
      <c r="I33" s="13">
        <v>0</v>
      </c>
      <c r="J33" s="13">
        <v>8</v>
      </c>
      <c r="K33" s="14">
        <f>Aspects[[#This Row],[Phy min]]+Aspects[[#This Row],[Men min]]+Aspects[[#This Row],[Cha min]]</f>
        <v>30</v>
      </c>
      <c r="L33" s="14">
        <f>Aspects[[#This Row],[Phy max]]+Aspects[[#This Row],[Men max]]+Aspects[[#This Row],[Cha max]]</f>
        <v>53</v>
      </c>
      <c r="M33" s="14">
        <f>MAX(Aspects[[#This Row],[Max stats]]-Aspects[[#This Row],[Min stats]],0)</f>
        <v>23</v>
      </c>
      <c r="N33" s="12">
        <f>ROUNDUP(AVERAGE(Aspects[[#This Row],[Phy min]:[Phy max]])*WPHYSIC+AVERAGE(Aspects[[#This Row],[Men min]:[Men max]])*WMENTAL+AVERAGE(Aspects[[#This Row],[Cha min]:[Cha max]])*WCHARAC,0)</f>
        <v>8</v>
      </c>
      <c r="O33" s="2" t="s">
        <v>37</v>
      </c>
      <c r="P33" s="1" t="s">
        <v>5</v>
      </c>
      <c r="Q33" s="10" t="str">
        <f>IFERROR(VLOOKUP(Aspects[[#This Row],[Alignement]],Alignement[],2,FALSE),"")</f>
        <v>Neutre</v>
      </c>
      <c r="R33" s="10" t="str">
        <f>IFERROR(VLOOKUP(Aspects[[#This Row],[Alignement]],Alignement[],3,FALSE),"")</f>
        <v>Neutre</v>
      </c>
      <c r="S33" s="8">
        <f>IF(Aspects[[#This Row],[Men min]]&lt;8,0,1)</f>
        <v>1</v>
      </c>
      <c r="T33" s="8">
        <f>IF(OR(AND(Aspects[[#This Row],[Min stats]]&lt;=35,Aspects[[#This Row],[Loyauté]]&lt;&gt;"Loyal"),AND(Aspects[[#This Row],[Min stats]]&lt;=25,Aspects[[#This Row],[Loyauté]]="Loyal")),1,0)</f>
        <v>1</v>
      </c>
      <c r="U33" s="8">
        <f>IF(Aspects[[#This Row],[Max stats]]&gt;=43,1,0)</f>
        <v>1</v>
      </c>
      <c r="V33" s="8">
        <f>IF(OR(AND(Aspects[[#This Row],[Range stats]]&gt;=15,Aspects[[#This Row],[Range stats]]&lt;=27,Aspects[[#This Row],[Loyauté]]&lt;&gt;"Loyal"),AND(Aspects[[#This Row],[Range stats]]&gt;=27,Aspects[[#This Row],[Range stats]]&lt;=40,Aspects[[#This Row],[Loyauté]]="Loyal")),1,0)</f>
        <v>1</v>
      </c>
      <c r="W33" s="9"/>
    </row>
    <row r="34" spans="1:23" x14ac:dyDescent="0.25">
      <c r="A34" s="1" t="s">
        <v>84</v>
      </c>
      <c r="B34" s="16" t="str">
        <f>Aspects[[#This Row],[Phy min]] &amp; " - " &amp; Aspects[[#This Row],[Phy max]]</f>
        <v>8 - 18</v>
      </c>
      <c r="C34" s="13">
        <v>8</v>
      </c>
      <c r="D34" s="13">
        <v>18</v>
      </c>
      <c r="E34" s="16" t="str">
        <f>Aspects[[#This Row],[Men min]] &amp; " - " &amp; Aspects[[#This Row],[Men max]]</f>
        <v>8 - 18</v>
      </c>
      <c r="F34" s="13">
        <v>8</v>
      </c>
      <c r="G34" s="13">
        <v>18</v>
      </c>
      <c r="H34" s="16" t="str">
        <f>Aspects[[#This Row],[Cha min]] &amp; " - " &amp; Aspects[[#This Row],[Cha max]]</f>
        <v>5 - 12</v>
      </c>
      <c r="I34" s="13">
        <v>5</v>
      </c>
      <c r="J34" s="13">
        <v>12</v>
      </c>
      <c r="K34" s="14">
        <f>Aspects[[#This Row],[Phy min]]+Aspects[[#This Row],[Men min]]+Aspects[[#This Row],[Cha min]]</f>
        <v>21</v>
      </c>
      <c r="L34" s="14">
        <f>Aspects[[#This Row],[Phy max]]+Aspects[[#This Row],[Men max]]+Aspects[[#This Row],[Cha max]]</f>
        <v>48</v>
      </c>
      <c r="M34" s="14">
        <f>MAX(Aspects[[#This Row],[Max stats]]-Aspects[[#This Row],[Min stats]],0)</f>
        <v>27</v>
      </c>
      <c r="N34" s="12">
        <f>ROUNDUP(AVERAGE(Aspects[[#This Row],[Phy min]:[Phy max]])*WPHYSIC+AVERAGE(Aspects[[#This Row],[Men min]:[Men max]])*WMENTAL+AVERAGE(Aspects[[#This Row],[Cha min]:[Cha max]])*WCHARAC,0)</f>
        <v>8</v>
      </c>
      <c r="O34" s="2" t="s">
        <v>41</v>
      </c>
      <c r="P34" s="1" t="s">
        <v>5</v>
      </c>
      <c r="Q34" s="10" t="str">
        <f>IFERROR(VLOOKUP(Aspects[[#This Row],[Alignement]],Alignement[],2,FALSE),"")</f>
        <v>Neutre</v>
      </c>
      <c r="R34" s="10" t="str">
        <f>IFERROR(VLOOKUP(Aspects[[#This Row],[Alignement]],Alignement[],3,FALSE),"")</f>
        <v>Neutre</v>
      </c>
      <c r="S34" s="8">
        <v>0</v>
      </c>
      <c r="T34" s="8">
        <f>IF(OR(AND(Aspects[[#This Row],[Min stats]]&lt;=35,Aspects[[#This Row],[Loyauté]]&lt;&gt;"Loyal"),AND(Aspects[[#This Row],[Min stats]]&lt;=25,Aspects[[#This Row],[Loyauté]]="Loyal")),1,0)</f>
        <v>1</v>
      </c>
      <c r="U34" s="8">
        <f>IF(Aspects[[#This Row],[Max stats]]&gt;=43,1,0)</f>
        <v>1</v>
      </c>
      <c r="V34" s="8">
        <f>IF(OR(AND(Aspects[[#This Row],[Range stats]]&gt;=15,Aspects[[#This Row],[Range stats]]&lt;=27,Aspects[[#This Row],[Loyauté]]&lt;&gt;"Loyal"),AND(Aspects[[#This Row],[Range stats]]&gt;=27,Aspects[[#This Row],[Range stats]]&lt;=40,Aspects[[#This Row],[Loyauté]]="Loyal")),1,0)</f>
        <v>1</v>
      </c>
      <c r="W34" s="9" t="s">
        <v>76</v>
      </c>
    </row>
    <row r="35" spans="1:23" x14ac:dyDescent="0.25">
      <c r="A35" s="1" t="s">
        <v>60</v>
      </c>
      <c r="B35" s="16" t="str">
        <f>Aspects[[#This Row],[Phy min]] &amp; " - " &amp; Aspects[[#This Row],[Phy max]]</f>
        <v>0 - 13</v>
      </c>
      <c r="C35" s="13">
        <v>0</v>
      </c>
      <c r="D35" s="13">
        <v>13</v>
      </c>
      <c r="E35" s="16" t="str">
        <f>Aspects[[#This Row],[Men min]] &amp; " - " &amp; Aspects[[#This Row],[Men max]]</f>
        <v>8 - 15</v>
      </c>
      <c r="F35" s="13">
        <v>8</v>
      </c>
      <c r="G35" s="13">
        <v>15</v>
      </c>
      <c r="H35" s="16" t="str">
        <f>Aspects[[#This Row],[Cha min]] &amp; " - " &amp; Aspects[[#This Row],[Cha max]]</f>
        <v>15 - 20</v>
      </c>
      <c r="I35" s="13">
        <v>15</v>
      </c>
      <c r="J35" s="13">
        <v>20</v>
      </c>
      <c r="K35" s="14">
        <f>Aspects[[#This Row],[Phy min]]+Aspects[[#This Row],[Men min]]+Aspects[[#This Row],[Cha min]]</f>
        <v>23</v>
      </c>
      <c r="L35" s="14">
        <f>Aspects[[#This Row],[Phy max]]+Aspects[[#This Row],[Men max]]+Aspects[[#This Row],[Cha max]]</f>
        <v>48</v>
      </c>
      <c r="M35" s="14">
        <f>MAX(Aspects[[#This Row],[Max stats]]-Aspects[[#This Row],[Min stats]],0)</f>
        <v>25</v>
      </c>
      <c r="N35" s="12">
        <f>ROUNDUP(AVERAGE(Aspects[[#This Row],[Phy min]:[Phy max]])*WPHYSIC+AVERAGE(Aspects[[#This Row],[Men min]:[Men max]])*WMENTAL+AVERAGE(Aspects[[#This Row],[Cha min]:[Cha max]])*WCHARAC,0)</f>
        <v>9</v>
      </c>
      <c r="O35" s="2" t="s">
        <v>43</v>
      </c>
      <c r="P35" s="1" t="s">
        <v>5</v>
      </c>
      <c r="Q35" s="10" t="str">
        <f>IFERROR(VLOOKUP(Aspects[[#This Row],[Alignement]],Alignement[],2,FALSE),"")</f>
        <v>Neutre</v>
      </c>
      <c r="R35" s="10" t="str">
        <f>IFERROR(VLOOKUP(Aspects[[#This Row],[Alignement]],Alignement[],3,FALSE),"")</f>
        <v>Neutre</v>
      </c>
      <c r="S35" s="8">
        <f>IF(Aspects[[#This Row],[Men min]]&lt;8,0,1)</f>
        <v>1</v>
      </c>
      <c r="T35" s="8">
        <f>IF(OR(AND(Aspects[[#This Row],[Min stats]]&lt;=35,Aspects[[#This Row],[Loyauté]]&lt;&gt;"Loyal"),AND(Aspects[[#This Row],[Min stats]]&lt;=25,Aspects[[#This Row],[Loyauté]]="Loyal")),1,0)</f>
        <v>1</v>
      </c>
      <c r="U35" s="8">
        <f>IF(Aspects[[#This Row],[Max stats]]&gt;=43,1,0)</f>
        <v>1</v>
      </c>
      <c r="V35" s="8">
        <f>IF(OR(AND(Aspects[[#This Row],[Range stats]]&gt;=15,Aspects[[#This Row],[Range stats]]&lt;=27,Aspects[[#This Row],[Loyauté]]&lt;&gt;"Loyal"),AND(Aspects[[#This Row],[Range stats]]&gt;=27,Aspects[[#This Row],[Range stats]]&lt;=40,Aspects[[#This Row],[Loyauté]]="Loyal")),1,0)</f>
        <v>1</v>
      </c>
      <c r="W35" s="9"/>
    </row>
    <row r="36" spans="1:23" x14ac:dyDescent="0.25">
      <c r="A36" s="1" t="s">
        <v>61</v>
      </c>
      <c r="B36" s="16" t="str">
        <f>Aspects[[#This Row],[Phy min]] &amp; " - " &amp; Aspects[[#This Row],[Phy max]]</f>
        <v>12 - 28</v>
      </c>
      <c r="C36" s="13">
        <v>12</v>
      </c>
      <c r="D36" s="13">
        <v>28</v>
      </c>
      <c r="E36" s="16" t="str">
        <f>Aspects[[#This Row],[Men min]] &amp; " - " &amp; Aspects[[#This Row],[Men max]]</f>
        <v>0 - 12</v>
      </c>
      <c r="F36" s="13">
        <v>0</v>
      </c>
      <c r="G36" s="13">
        <v>12</v>
      </c>
      <c r="H36" s="16" t="str">
        <f>Aspects[[#This Row],[Cha min]] &amp; " - " &amp; Aspects[[#This Row],[Cha max]]</f>
        <v>10 - 20</v>
      </c>
      <c r="I36" s="13">
        <v>10</v>
      </c>
      <c r="J36" s="13">
        <v>20</v>
      </c>
      <c r="K36" s="14">
        <f>Aspects[[#This Row],[Phy min]]+Aspects[[#This Row],[Men min]]+Aspects[[#This Row],[Cha min]]</f>
        <v>22</v>
      </c>
      <c r="L36" s="14">
        <f>Aspects[[#This Row],[Phy max]]+Aspects[[#This Row],[Men max]]+Aspects[[#This Row],[Cha max]]</f>
        <v>60</v>
      </c>
      <c r="M36" s="14">
        <f>MAX(Aspects[[#This Row],[Max stats]]-Aspects[[#This Row],[Min stats]],0)</f>
        <v>38</v>
      </c>
      <c r="N36" s="12">
        <f>ROUNDUP(AVERAGE(Aspects[[#This Row],[Phy min]:[Phy max]])*WPHYSIC+AVERAGE(Aspects[[#This Row],[Men min]:[Men max]])*WMENTAL+AVERAGE(Aspects[[#This Row],[Cha min]:[Cha max]])*WCHARAC,0)</f>
        <v>9</v>
      </c>
      <c r="O36" s="2" t="s">
        <v>37</v>
      </c>
      <c r="P36" s="1" t="s">
        <v>11</v>
      </c>
      <c r="Q36" s="10" t="str">
        <f>IFERROR(VLOOKUP(Aspects[[#This Row],[Alignement]],Alignement[],2,FALSE),"")</f>
        <v>Mauvais</v>
      </c>
      <c r="R36" s="10" t="str">
        <f>IFERROR(VLOOKUP(Aspects[[#This Row],[Alignement]],Alignement[],3,FALSE),"")</f>
        <v>Loyal</v>
      </c>
      <c r="S36" s="8">
        <f>IF(Aspects[[#This Row],[Men min]]&lt;8,0,1)</f>
        <v>0</v>
      </c>
      <c r="T36" s="8">
        <f>IF(OR(AND(Aspects[[#This Row],[Min stats]]&lt;=35,Aspects[[#This Row],[Loyauté]]&lt;&gt;"Loyal"),AND(Aspects[[#This Row],[Min stats]]&lt;=25,Aspects[[#This Row],[Loyauté]]="Loyal")),1,0)</f>
        <v>1</v>
      </c>
      <c r="U36" s="8">
        <f>IF(Aspects[[#This Row],[Max stats]]&gt;=43,1,0)</f>
        <v>1</v>
      </c>
      <c r="V36" s="8">
        <f>IF(OR(AND(Aspects[[#This Row],[Range stats]]&gt;=15,Aspects[[#This Row],[Range stats]]&lt;=27,Aspects[[#This Row],[Loyauté]]&lt;&gt;"Loyal"),AND(Aspects[[#This Row],[Range stats]]&gt;=27,Aspects[[#This Row],[Range stats]]&lt;=40,Aspects[[#This Row],[Loyauté]]="Loyal")),1,0)</f>
        <v>1</v>
      </c>
      <c r="W36" s="9"/>
    </row>
    <row r="37" spans="1:23" x14ac:dyDescent="0.25">
      <c r="A37" t="s">
        <v>45</v>
      </c>
      <c r="B37" s="16" t="str">
        <f>Aspects[[#This Row],[Phy min]] &amp; " - " &amp; Aspects[[#This Row],[Phy max]]</f>
        <v>8 - 18</v>
      </c>
      <c r="C37" s="13">
        <v>8</v>
      </c>
      <c r="D37" s="13">
        <v>18</v>
      </c>
      <c r="E37" s="16" t="str">
        <f>Aspects[[#This Row],[Men min]] &amp; " - " &amp; Aspects[[#This Row],[Men max]]</f>
        <v>10 - 18</v>
      </c>
      <c r="F37" s="13">
        <v>10</v>
      </c>
      <c r="G37" s="13">
        <v>18</v>
      </c>
      <c r="H37" s="16" t="str">
        <f>Aspects[[#This Row],[Cha min]] &amp; " - " &amp; Aspects[[#This Row],[Cha max]]</f>
        <v>12 - 20</v>
      </c>
      <c r="I37" s="13">
        <v>12</v>
      </c>
      <c r="J37" s="13">
        <v>20</v>
      </c>
      <c r="K37" s="14">
        <f>Aspects[[#This Row],[Phy min]]+Aspects[[#This Row],[Men min]]+Aspects[[#This Row],[Cha min]]</f>
        <v>30</v>
      </c>
      <c r="L37" s="14">
        <f>Aspects[[#This Row],[Phy max]]+Aspects[[#This Row],[Men max]]+Aspects[[#This Row],[Cha max]]</f>
        <v>56</v>
      </c>
      <c r="M37" s="14">
        <f>MAX(Aspects[[#This Row],[Max stats]]-Aspects[[#This Row],[Min stats]],0)</f>
        <v>26</v>
      </c>
      <c r="N37" s="12">
        <f>ROUNDUP(AVERAGE(Aspects[[#This Row],[Phy min]:[Phy max]])*WPHYSIC+AVERAGE(Aspects[[#This Row],[Men min]:[Men max]])*WMENTAL+AVERAGE(Aspects[[#This Row],[Cha min]:[Cha max]])*WCHARAC,0)</f>
        <v>10</v>
      </c>
      <c r="O37" s="2" t="s">
        <v>42</v>
      </c>
      <c r="P37" s="1" t="s">
        <v>4</v>
      </c>
      <c r="Q37" s="10" t="str">
        <f>IFERROR(VLOOKUP(Aspects[[#This Row],[Alignement]],Alignement[],2,FALSE),"")</f>
        <v>Neutre</v>
      </c>
      <c r="R37" s="10" t="str">
        <f>IFERROR(VLOOKUP(Aspects[[#This Row],[Alignement]],Alignement[],3,FALSE),"")</f>
        <v>Chaotique</v>
      </c>
      <c r="S37" s="8">
        <f>IF(Aspects[[#This Row],[Men min]]&lt;8,0,1)</f>
        <v>1</v>
      </c>
      <c r="T37" s="8">
        <f>IF(OR(AND(Aspects[[#This Row],[Min stats]]&lt;=35,Aspects[[#This Row],[Loyauté]]&lt;&gt;"Loyal"),AND(Aspects[[#This Row],[Min stats]]&lt;=25,Aspects[[#This Row],[Loyauté]]="Loyal")),1,0)</f>
        <v>1</v>
      </c>
      <c r="U37" s="8">
        <f>IF(Aspects[[#This Row],[Max stats]]&gt;=43,1,0)</f>
        <v>1</v>
      </c>
      <c r="V37" s="8">
        <f>IF(OR(AND(Aspects[[#This Row],[Range stats]]&gt;=15,Aspects[[#This Row],[Range stats]]&lt;=27,Aspects[[#This Row],[Loyauté]]&lt;&gt;"Loyal"),AND(Aspects[[#This Row],[Range stats]]&gt;=27,Aspects[[#This Row],[Range stats]]&lt;=40,Aspects[[#This Row],[Loyauté]]="Loyal")),1,0)</f>
        <v>1</v>
      </c>
      <c r="W37" s="9"/>
    </row>
  </sheetData>
  <phoneticPr fontId="2" type="noConversion"/>
  <conditionalFormatting sqref="S2:S37">
    <cfRule type="iconSet" priority="1">
      <iconSet iconSet="5Quarters" showValue="0">
        <cfvo type="percent" val="0"/>
        <cfvo type="num" val="1"/>
        <cfvo type="num" val="1"/>
        <cfvo type="num" val="1"/>
        <cfvo type="num" val="1"/>
      </iconSet>
    </cfRule>
  </conditionalFormatting>
  <conditionalFormatting sqref="T2:V37">
    <cfRule type="iconSet" priority="2">
      <iconSet showValue="0">
        <cfvo type="percent" val="0"/>
        <cfvo type="num" val="1"/>
        <cfvo type="num" val="1"/>
      </iconSet>
    </cfRule>
  </conditionalFormatting>
  <dataValidations count="1">
    <dataValidation type="list" allowBlank="1" showInputMessage="1" showErrorMessage="1" sqref="O2:O37" xr:uid="{A9E7DB20-FB37-4EA8-AAF6-122D29DBF46D}">
      <formula1>"Force,Dextérité,Résilience,Intelligence,Curiosité,Éloquence,Psyché"</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B0C54A-5B8D-4118-8C8F-ED0130624CA2}">
          <x14:formula1>
            <xm:f>Feuil2!$A$2:$A$10</xm:f>
          </x14:formula1>
          <xm:sqref>P2:P37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B602-C0FA-4B00-B548-6BC6470D5C4B}">
  <dimension ref="A1:K157"/>
  <sheetViews>
    <sheetView tabSelected="1" topLeftCell="A28" workbookViewId="0">
      <selection activeCell="K43" sqref="K43"/>
    </sheetView>
  </sheetViews>
  <sheetFormatPr baseColWidth="10" defaultRowHeight="15" x14ac:dyDescent="0.25"/>
  <cols>
    <col min="1" max="1" width="25.42578125" bestFit="1" customWidth="1"/>
    <col min="2" max="2" width="7.5703125" bestFit="1" customWidth="1"/>
    <col min="3" max="3" width="9.140625" bestFit="1" customWidth="1"/>
    <col min="4" max="4" width="10.7109375" bestFit="1" customWidth="1"/>
    <col min="5" max="5" width="7.42578125" bestFit="1" customWidth="1"/>
    <col min="6" max="6" width="13.28515625" bestFit="1" customWidth="1"/>
    <col min="7" max="7" width="6.140625" customWidth="1"/>
    <col min="8" max="8" width="10.85546875" bestFit="1" customWidth="1"/>
    <col min="9" max="9" width="11.85546875" bestFit="1" customWidth="1"/>
    <col min="10" max="10" width="16.28515625" bestFit="1" customWidth="1"/>
    <col min="11" max="11" width="255.7109375" bestFit="1" customWidth="1"/>
  </cols>
  <sheetData>
    <row r="1" spans="1:11" x14ac:dyDescent="0.25">
      <c r="A1" t="s">
        <v>85</v>
      </c>
      <c r="B1" t="s">
        <v>88</v>
      </c>
      <c r="C1" t="s">
        <v>86</v>
      </c>
      <c r="D1" t="s">
        <v>87</v>
      </c>
      <c r="E1" t="s">
        <v>115</v>
      </c>
      <c r="F1" t="s">
        <v>114</v>
      </c>
      <c r="G1" t="s">
        <v>121</v>
      </c>
      <c r="H1" t="s">
        <v>206</v>
      </c>
      <c r="I1" t="s">
        <v>147</v>
      </c>
      <c r="J1" t="s">
        <v>74</v>
      </c>
      <c r="K1" t="s">
        <v>159</v>
      </c>
    </row>
    <row r="2" spans="1:11" x14ac:dyDescent="0.25">
      <c r="A2" t="s">
        <v>116</v>
      </c>
      <c r="B2" s="52">
        <v>1</v>
      </c>
      <c r="C2" t="s">
        <v>111</v>
      </c>
      <c r="D2" t="s">
        <v>112</v>
      </c>
      <c r="E2" s="12">
        <v>3</v>
      </c>
      <c r="F2" s="12" t="s">
        <v>113</v>
      </c>
      <c r="G2" s="8">
        <v>0</v>
      </c>
      <c r="H2" s="8" t="s">
        <v>207</v>
      </c>
      <c r="I2" s="8" t="s">
        <v>146</v>
      </c>
      <c r="K2" s="18" t="s">
        <v>89</v>
      </c>
    </row>
    <row r="3" spans="1:11" x14ac:dyDescent="0.25">
      <c r="A3" t="s">
        <v>117</v>
      </c>
      <c r="B3" s="52">
        <v>1</v>
      </c>
      <c r="C3" t="s">
        <v>118</v>
      </c>
      <c r="D3" t="s">
        <v>112</v>
      </c>
      <c r="E3" s="12">
        <v>2</v>
      </c>
      <c r="F3" s="12" t="s">
        <v>113</v>
      </c>
      <c r="G3" s="8">
        <v>0</v>
      </c>
      <c r="H3" s="8" t="s">
        <v>208</v>
      </c>
      <c r="I3" s="8" t="s">
        <v>149</v>
      </c>
      <c r="K3" s="18" t="s">
        <v>90</v>
      </c>
    </row>
    <row r="4" spans="1:11" x14ac:dyDescent="0.25">
      <c r="A4" t="s">
        <v>119</v>
      </c>
      <c r="B4" s="52">
        <v>1</v>
      </c>
      <c r="C4" t="s">
        <v>111</v>
      </c>
      <c r="D4" t="s">
        <v>112</v>
      </c>
      <c r="E4" s="12">
        <v>6</v>
      </c>
      <c r="F4" s="12" t="s">
        <v>113</v>
      </c>
      <c r="G4" s="8">
        <v>0</v>
      </c>
      <c r="H4" s="8" t="s">
        <v>211</v>
      </c>
      <c r="I4" s="8" t="s">
        <v>146</v>
      </c>
      <c r="K4" s="18" t="s">
        <v>91</v>
      </c>
    </row>
    <row r="5" spans="1:11" x14ac:dyDescent="0.25">
      <c r="A5" t="s">
        <v>120</v>
      </c>
      <c r="B5" s="52">
        <v>1</v>
      </c>
      <c r="C5" t="s">
        <v>118</v>
      </c>
      <c r="D5" t="s">
        <v>112</v>
      </c>
      <c r="E5" s="12">
        <v>6</v>
      </c>
      <c r="F5" s="12" t="s">
        <v>113</v>
      </c>
      <c r="G5" s="8">
        <v>1</v>
      </c>
      <c r="H5" s="8" t="s">
        <v>210</v>
      </c>
      <c r="I5" s="8" t="s">
        <v>146</v>
      </c>
      <c r="K5" s="18" t="s">
        <v>92</v>
      </c>
    </row>
    <row r="6" spans="1:11" x14ac:dyDescent="0.25">
      <c r="A6" t="s">
        <v>122</v>
      </c>
      <c r="B6" s="52">
        <v>1</v>
      </c>
      <c r="C6" t="s">
        <v>118</v>
      </c>
      <c r="D6" t="s">
        <v>112</v>
      </c>
      <c r="E6" s="12">
        <v>3</v>
      </c>
      <c r="F6" s="12" t="s">
        <v>123</v>
      </c>
      <c r="G6" s="8">
        <v>0</v>
      </c>
      <c r="H6" s="8" t="s">
        <v>213</v>
      </c>
      <c r="I6" s="8" t="s">
        <v>148</v>
      </c>
      <c r="K6" s="18" t="s">
        <v>93</v>
      </c>
    </row>
    <row r="7" spans="1:11" x14ac:dyDescent="0.25">
      <c r="A7" t="s">
        <v>242</v>
      </c>
      <c r="B7" s="52">
        <v>1</v>
      </c>
      <c r="C7" t="s">
        <v>127</v>
      </c>
      <c r="D7" t="s">
        <v>112</v>
      </c>
      <c r="E7" s="12">
        <v>3</v>
      </c>
      <c r="F7" s="12" t="s">
        <v>128</v>
      </c>
      <c r="G7" s="8">
        <v>0</v>
      </c>
      <c r="H7" s="8" t="s">
        <v>213</v>
      </c>
      <c r="I7" s="8" t="s">
        <v>150</v>
      </c>
      <c r="K7" s="18" t="s">
        <v>241</v>
      </c>
    </row>
    <row r="8" spans="1:11" x14ac:dyDescent="0.25">
      <c r="A8" t="s">
        <v>124</v>
      </c>
      <c r="B8" s="52">
        <v>1</v>
      </c>
      <c r="C8" t="s">
        <v>127</v>
      </c>
      <c r="D8" t="s">
        <v>129</v>
      </c>
      <c r="E8" s="12">
        <v>3</v>
      </c>
      <c r="F8" s="12" t="s">
        <v>128</v>
      </c>
      <c r="G8" s="8">
        <v>0</v>
      </c>
      <c r="H8" s="8" t="s">
        <v>210</v>
      </c>
      <c r="I8" s="8" t="s">
        <v>150</v>
      </c>
      <c r="K8" s="18" t="s">
        <v>228</v>
      </c>
    </row>
    <row r="9" spans="1:11" x14ac:dyDescent="0.25">
      <c r="A9" t="s">
        <v>125</v>
      </c>
      <c r="B9" s="52">
        <v>1</v>
      </c>
      <c r="C9" t="s">
        <v>111</v>
      </c>
      <c r="D9" t="s">
        <v>129</v>
      </c>
      <c r="E9" s="12">
        <v>3</v>
      </c>
      <c r="F9" s="12" t="s">
        <v>113</v>
      </c>
      <c r="G9" s="8">
        <v>0</v>
      </c>
      <c r="H9" s="8" t="s">
        <v>207</v>
      </c>
      <c r="I9" s="8" t="s">
        <v>146</v>
      </c>
      <c r="K9" s="18" t="s">
        <v>94</v>
      </c>
    </row>
    <row r="10" spans="1:11" x14ac:dyDescent="0.25">
      <c r="A10" t="s">
        <v>262</v>
      </c>
      <c r="B10" s="52">
        <v>1</v>
      </c>
      <c r="C10" t="s">
        <v>118</v>
      </c>
      <c r="D10" t="s">
        <v>129</v>
      </c>
      <c r="E10" s="12">
        <v>2</v>
      </c>
      <c r="F10" s="12" t="s">
        <v>113</v>
      </c>
      <c r="G10" s="8">
        <v>0</v>
      </c>
      <c r="H10" s="8" t="s">
        <v>210</v>
      </c>
      <c r="I10" s="8" t="s">
        <v>151</v>
      </c>
      <c r="K10" s="18" t="s">
        <v>233</v>
      </c>
    </row>
    <row r="11" spans="1:11" x14ac:dyDescent="0.25">
      <c r="B11" s="52">
        <v>1</v>
      </c>
      <c r="C11" t="s">
        <v>118</v>
      </c>
      <c r="D11" t="s">
        <v>129</v>
      </c>
      <c r="E11" s="12"/>
      <c r="F11" s="12" t="s">
        <v>113</v>
      </c>
      <c r="G11" s="8">
        <v>1</v>
      </c>
      <c r="H11" s="8"/>
      <c r="I11" s="8" t="s">
        <v>148</v>
      </c>
      <c r="J11" t="s">
        <v>126</v>
      </c>
      <c r="K11" s="18"/>
    </row>
    <row r="12" spans="1:11" x14ac:dyDescent="0.25">
      <c r="B12" s="52">
        <v>1</v>
      </c>
      <c r="C12" t="s">
        <v>127</v>
      </c>
      <c r="D12" t="s">
        <v>129</v>
      </c>
      <c r="E12" s="12"/>
      <c r="F12" s="12" t="s">
        <v>113</v>
      </c>
      <c r="G12" s="8">
        <v>0</v>
      </c>
      <c r="H12" s="8"/>
      <c r="I12" s="8" t="s">
        <v>149</v>
      </c>
      <c r="J12" t="s">
        <v>126</v>
      </c>
      <c r="K12" s="18"/>
    </row>
    <row r="13" spans="1:11" x14ac:dyDescent="0.25">
      <c r="B13" s="52">
        <v>1</v>
      </c>
      <c r="C13" t="s">
        <v>111</v>
      </c>
      <c r="D13" t="s">
        <v>129</v>
      </c>
      <c r="E13" s="12"/>
      <c r="F13" s="12" t="s">
        <v>113</v>
      </c>
      <c r="G13" s="8">
        <v>0</v>
      </c>
      <c r="H13" s="8"/>
      <c r="I13" s="8" t="s">
        <v>146</v>
      </c>
      <c r="J13" t="s">
        <v>126</v>
      </c>
      <c r="K13" s="18"/>
    </row>
    <row r="14" spans="1:11" x14ac:dyDescent="0.25">
      <c r="A14" t="s">
        <v>137</v>
      </c>
      <c r="B14" s="52">
        <v>1</v>
      </c>
      <c r="C14" t="s">
        <v>111</v>
      </c>
      <c r="D14" t="s">
        <v>130</v>
      </c>
      <c r="E14" s="12">
        <v>3</v>
      </c>
      <c r="F14" s="12" t="s">
        <v>113</v>
      </c>
      <c r="G14" s="8">
        <v>0</v>
      </c>
      <c r="H14" s="8" t="s">
        <v>207</v>
      </c>
      <c r="I14" s="8" t="s">
        <v>146</v>
      </c>
      <c r="K14" s="18" t="s">
        <v>95</v>
      </c>
    </row>
    <row r="15" spans="1:11" x14ac:dyDescent="0.25">
      <c r="A15" t="s">
        <v>138</v>
      </c>
      <c r="B15" s="52">
        <v>1</v>
      </c>
      <c r="C15" t="s">
        <v>118</v>
      </c>
      <c r="D15" t="s">
        <v>130</v>
      </c>
      <c r="E15" s="12">
        <v>2</v>
      </c>
      <c r="F15" s="12" t="s">
        <v>113</v>
      </c>
      <c r="G15" s="8">
        <v>0</v>
      </c>
      <c r="H15" s="8" t="s">
        <v>210</v>
      </c>
      <c r="I15" s="8" t="s">
        <v>151</v>
      </c>
      <c r="K15" s="18" t="s">
        <v>96</v>
      </c>
    </row>
    <row r="16" spans="1:11" x14ac:dyDescent="0.25">
      <c r="A16" t="s">
        <v>139</v>
      </c>
      <c r="B16" s="52">
        <v>1</v>
      </c>
      <c r="C16" t="s">
        <v>111</v>
      </c>
      <c r="D16" t="s">
        <v>130</v>
      </c>
      <c r="E16" s="12">
        <v>3</v>
      </c>
      <c r="F16" s="12" t="s">
        <v>113</v>
      </c>
      <c r="G16" s="8">
        <v>0</v>
      </c>
      <c r="H16" s="8" t="s">
        <v>207</v>
      </c>
      <c r="I16" s="8" t="s">
        <v>146</v>
      </c>
      <c r="K16" s="18" t="s">
        <v>97</v>
      </c>
    </row>
    <row r="17" spans="1:11" x14ac:dyDescent="0.25">
      <c r="A17" t="s">
        <v>263</v>
      </c>
      <c r="B17" s="52">
        <v>1</v>
      </c>
      <c r="C17" t="s">
        <v>127</v>
      </c>
      <c r="D17" t="s">
        <v>130</v>
      </c>
      <c r="E17" s="12">
        <v>5</v>
      </c>
      <c r="F17" s="12" t="s">
        <v>113</v>
      </c>
      <c r="G17" s="8">
        <v>0</v>
      </c>
      <c r="H17" s="8" t="s">
        <v>211</v>
      </c>
      <c r="I17" s="8" t="s">
        <v>152</v>
      </c>
      <c r="K17" s="18" t="s">
        <v>245</v>
      </c>
    </row>
    <row r="18" spans="1:11" x14ac:dyDescent="0.25">
      <c r="B18" s="52">
        <v>1</v>
      </c>
      <c r="C18" t="s">
        <v>127</v>
      </c>
      <c r="D18" t="s">
        <v>130</v>
      </c>
      <c r="E18" s="12"/>
      <c r="F18" s="12" t="s">
        <v>128</v>
      </c>
      <c r="G18" s="8">
        <v>0</v>
      </c>
      <c r="H18" s="8"/>
      <c r="I18" s="8" t="s">
        <v>151</v>
      </c>
      <c r="J18" t="s">
        <v>126</v>
      </c>
      <c r="K18" s="18"/>
    </row>
    <row r="19" spans="1:11" x14ac:dyDescent="0.25">
      <c r="A19" t="s">
        <v>264</v>
      </c>
      <c r="B19" s="52">
        <v>1</v>
      </c>
      <c r="C19" t="s">
        <v>127</v>
      </c>
      <c r="D19" t="s">
        <v>130</v>
      </c>
      <c r="E19" s="12">
        <v>3</v>
      </c>
      <c r="F19" s="12" t="s">
        <v>113</v>
      </c>
      <c r="G19" s="8">
        <v>0</v>
      </c>
      <c r="H19" s="8" t="s">
        <v>209</v>
      </c>
      <c r="I19" s="8" t="s">
        <v>152</v>
      </c>
      <c r="K19" s="18" t="s">
        <v>261</v>
      </c>
    </row>
    <row r="20" spans="1:11" x14ac:dyDescent="0.25">
      <c r="A20" t="s">
        <v>265</v>
      </c>
      <c r="B20" s="52">
        <v>1</v>
      </c>
      <c r="C20" t="s">
        <v>111</v>
      </c>
      <c r="D20" t="s">
        <v>131</v>
      </c>
      <c r="E20" s="12">
        <v>2</v>
      </c>
      <c r="F20" s="12" t="s">
        <v>113</v>
      </c>
      <c r="G20" s="8">
        <v>0</v>
      </c>
      <c r="H20" s="8" t="s">
        <v>211</v>
      </c>
      <c r="I20" s="8" t="s">
        <v>146</v>
      </c>
      <c r="K20" s="18" t="s">
        <v>98</v>
      </c>
    </row>
    <row r="21" spans="1:11" x14ac:dyDescent="0.25">
      <c r="A21" t="s">
        <v>266</v>
      </c>
      <c r="B21" s="52">
        <v>1</v>
      </c>
      <c r="C21" t="s">
        <v>111</v>
      </c>
      <c r="D21" t="s">
        <v>131</v>
      </c>
      <c r="E21" s="12">
        <v>3</v>
      </c>
      <c r="F21" s="12" t="s">
        <v>113</v>
      </c>
      <c r="G21" s="8">
        <v>0</v>
      </c>
      <c r="H21" s="8" t="s">
        <v>211</v>
      </c>
      <c r="I21" s="8" t="s">
        <v>152</v>
      </c>
      <c r="K21" s="18" t="s">
        <v>160</v>
      </c>
    </row>
    <row r="22" spans="1:11" x14ac:dyDescent="0.25">
      <c r="A22" t="s">
        <v>140</v>
      </c>
      <c r="B22" s="52">
        <v>1</v>
      </c>
      <c r="C22" t="s">
        <v>118</v>
      </c>
      <c r="D22" t="s">
        <v>131</v>
      </c>
      <c r="E22" s="12">
        <v>3</v>
      </c>
      <c r="F22" s="12" t="s">
        <v>113</v>
      </c>
      <c r="G22" s="8">
        <v>1</v>
      </c>
      <c r="H22" s="8" t="s">
        <v>210</v>
      </c>
      <c r="I22" s="8" t="s">
        <v>150</v>
      </c>
      <c r="K22" s="18" t="s">
        <v>99</v>
      </c>
    </row>
    <row r="23" spans="1:11" x14ac:dyDescent="0.25">
      <c r="A23" t="s">
        <v>267</v>
      </c>
      <c r="B23" s="52">
        <v>1</v>
      </c>
      <c r="C23" t="s">
        <v>127</v>
      </c>
      <c r="D23" t="s">
        <v>131</v>
      </c>
      <c r="E23" s="12">
        <v>3</v>
      </c>
      <c r="F23" s="12" t="s">
        <v>128</v>
      </c>
      <c r="G23" s="8">
        <v>0</v>
      </c>
      <c r="H23" s="8" t="s">
        <v>210</v>
      </c>
      <c r="I23" s="8" t="s">
        <v>150</v>
      </c>
      <c r="K23" s="18" t="s">
        <v>100</v>
      </c>
    </row>
    <row r="24" spans="1:11" x14ac:dyDescent="0.25">
      <c r="B24" s="52">
        <v>1</v>
      </c>
      <c r="C24" t="s">
        <v>118</v>
      </c>
      <c r="D24" t="s">
        <v>131</v>
      </c>
      <c r="E24" s="12"/>
      <c r="F24" s="12" t="s">
        <v>113</v>
      </c>
      <c r="G24" s="8">
        <v>0</v>
      </c>
      <c r="H24" s="8"/>
      <c r="I24" s="8" t="s">
        <v>155</v>
      </c>
      <c r="J24" t="s">
        <v>126</v>
      </c>
      <c r="K24" s="18"/>
    </row>
    <row r="25" spans="1:11" ht="14.25" customHeight="1" x14ac:dyDescent="0.25">
      <c r="A25" t="s">
        <v>227</v>
      </c>
      <c r="B25" s="52">
        <v>1</v>
      </c>
      <c r="C25" t="s">
        <v>118</v>
      </c>
      <c r="D25" t="s">
        <v>131</v>
      </c>
      <c r="E25" s="12"/>
      <c r="F25" s="12" t="s">
        <v>123</v>
      </c>
      <c r="G25" s="8">
        <v>0</v>
      </c>
      <c r="H25" s="8" t="s">
        <v>213</v>
      </c>
      <c r="I25" s="8" t="s">
        <v>148</v>
      </c>
      <c r="K25" s="18" t="s">
        <v>226</v>
      </c>
    </row>
    <row r="26" spans="1:11" x14ac:dyDescent="0.25">
      <c r="A26" t="s">
        <v>141</v>
      </c>
      <c r="B26" s="52">
        <v>1</v>
      </c>
      <c r="C26" t="s">
        <v>118</v>
      </c>
      <c r="D26" t="s">
        <v>132</v>
      </c>
      <c r="E26" s="12">
        <v>2</v>
      </c>
      <c r="F26" s="12" t="s">
        <v>113</v>
      </c>
      <c r="G26" s="8">
        <v>0</v>
      </c>
      <c r="H26" s="8" t="s">
        <v>210</v>
      </c>
      <c r="I26" s="8" t="s">
        <v>149</v>
      </c>
      <c r="K26" s="18" t="s">
        <v>101</v>
      </c>
    </row>
    <row r="27" spans="1:11" x14ac:dyDescent="0.25">
      <c r="A27" t="s">
        <v>142</v>
      </c>
      <c r="B27" s="52">
        <v>1</v>
      </c>
      <c r="C27" t="s">
        <v>118</v>
      </c>
      <c r="D27" t="s">
        <v>132</v>
      </c>
      <c r="E27" s="12">
        <v>5</v>
      </c>
      <c r="F27" s="12" t="s">
        <v>113</v>
      </c>
      <c r="G27" s="8">
        <v>0</v>
      </c>
      <c r="H27" s="8" t="s">
        <v>211</v>
      </c>
      <c r="I27" s="8" t="s">
        <v>146</v>
      </c>
      <c r="K27" s="18" t="s">
        <v>102</v>
      </c>
    </row>
    <row r="28" spans="1:11" x14ac:dyDescent="0.25">
      <c r="A28" t="s">
        <v>222</v>
      </c>
      <c r="B28" s="52">
        <v>1</v>
      </c>
      <c r="C28" t="s">
        <v>118</v>
      </c>
      <c r="D28" t="s">
        <v>132</v>
      </c>
      <c r="E28" s="12">
        <v>2</v>
      </c>
      <c r="F28" s="12" t="s">
        <v>154</v>
      </c>
      <c r="G28" s="8">
        <v>0</v>
      </c>
      <c r="H28" s="8" t="s">
        <v>213</v>
      </c>
      <c r="I28" s="8" t="s">
        <v>148</v>
      </c>
      <c r="K28" s="18" t="s">
        <v>224</v>
      </c>
    </row>
    <row r="29" spans="1:11" x14ac:dyDescent="0.25">
      <c r="B29" s="52">
        <v>1</v>
      </c>
      <c r="C29" t="s">
        <v>127</v>
      </c>
      <c r="D29" t="s">
        <v>132</v>
      </c>
      <c r="E29" s="12"/>
      <c r="F29" s="12" t="s">
        <v>113</v>
      </c>
      <c r="G29" s="8">
        <v>0</v>
      </c>
      <c r="H29" s="8"/>
      <c r="I29" s="8" t="s">
        <v>149</v>
      </c>
      <c r="K29" s="18" t="s">
        <v>292</v>
      </c>
    </row>
    <row r="30" spans="1:11" x14ac:dyDescent="0.25">
      <c r="A30" t="s">
        <v>223</v>
      </c>
      <c r="B30" s="52">
        <v>1</v>
      </c>
      <c r="C30" t="s">
        <v>118</v>
      </c>
      <c r="D30" t="s">
        <v>132</v>
      </c>
      <c r="E30" s="12">
        <v>3</v>
      </c>
      <c r="F30" s="12" t="s">
        <v>154</v>
      </c>
      <c r="G30" s="8">
        <v>1</v>
      </c>
      <c r="H30" s="8" t="s">
        <v>210</v>
      </c>
      <c r="I30" s="8" t="s">
        <v>148</v>
      </c>
      <c r="K30" s="18" t="s">
        <v>225</v>
      </c>
    </row>
    <row r="31" spans="1:11" x14ac:dyDescent="0.25">
      <c r="B31" s="52">
        <v>1</v>
      </c>
      <c r="C31" t="s">
        <v>111</v>
      </c>
      <c r="D31" t="s">
        <v>132</v>
      </c>
      <c r="E31" s="12"/>
      <c r="F31" s="12" t="s">
        <v>113</v>
      </c>
      <c r="G31" s="8">
        <v>0</v>
      </c>
      <c r="H31" s="8"/>
      <c r="I31" s="8" t="s">
        <v>148</v>
      </c>
      <c r="J31" t="s">
        <v>126</v>
      </c>
      <c r="K31" s="18"/>
    </row>
    <row r="32" spans="1:11" x14ac:dyDescent="0.25">
      <c r="B32" s="52">
        <v>1</v>
      </c>
      <c r="C32" t="s">
        <v>127</v>
      </c>
      <c r="D32" t="s">
        <v>132</v>
      </c>
      <c r="E32" s="12"/>
      <c r="F32" s="12" t="s">
        <v>128</v>
      </c>
      <c r="G32" s="8">
        <v>0</v>
      </c>
      <c r="H32" s="8"/>
      <c r="I32" s="8" t="s">
        <v>155</v>
      </c>
      <c r="J32" t="s">
        <v>126</v>
      </c>
      <c r="K32" s="18"/>
    </row>
    <row r="33" spans="1:11" x14ac:dyDescent="0.25">
      <c r="B33" s="52">
        <v>1</v>
      </c>
      <c r="C33" t="s">
        <v>118</v>
      </c>
      <c r="D33" t="s">
        <v>132</v>
      </c>
      <c r="E33" s="12"/>
      <c r="F33" s="12" t="s">
        <v>113</v>
      </c>
      <c r="G33" s="8">
        <v>0</v>
      </c>
      <c r="H33" s="8"/>
      <c r="I33" s="8" t="s">
        <v>155</v>
      </c>
      <c r="J33" t="s">
        <v>126</v>
      </c>
      <c r="K33" s="18"/>
    </row>
    <row r="34" spans="1:11" x14ac:dyDescent="0.25">
      <c r="A34" t="s">
        <v>143</v>
      </c>
      <c r="B34" s="52">
        <v>1</v>
      </c>
      <c r="C34" t="s">
        <v>118</v>
      </c>
      <c r="D34" t="s">
        <v>133</v>
      </c>
      <c r="E34" s="12">
        <v>3</v>
      </c>
      <c r="F34" s="12" t="s">
        <v>113</v>
      </c>
      <c r="G34" s="8">
        <v>0</v>
      </c>
      <c r="H34" s="8" t="s">
        <v>207</v>
      </c>
      <c r="I34" s="8" t="s">
        <v>149</v>
      </c>
      <c r="K34" s="18" t="s">
        <v>103</v>
      </c>
    </row>
    <row r="35" spans="1:11" x14ac:dyDescent="0.25">
      <c r="A35" t="s">
        <v>144</v>
      </c>
      <c r="B35" s="52">
        <v>1</v>
      </c>
      <c r="C35" t="s">
        <v>111</v>
      </c>
      <c r="D35" t="s">
        <v>133</v>
      </c>
      <c r="E35" s="12">
        <v>5</v>
      </c>
      <c r="F35" s="12" t="s">
        <v>113</v>
      </c>
      <c r="G35" s="8">
        <v>0</v>
      </c>
      <c r="H35" s="8" t="s">
        <v>212</v>
      </c>
      <c r="I35" s="8" t="s">
        <v>151</v>
      </c>
      <c r="K35" s="18" t="s">
        <v>104</v>
      </c>
    </row>
    <row r="36" spans="1:11" x14ac:dyDescent="0.25">
      <c r="A36" t="s">
        <v>145</v>
      </c>
      <c r="B36" s="52">
        <v>1</v>
      </c>
      <c r="C36" t="s">
        <v>118</v>
      </c>
      <c r="D36" t="s">
        <v>133</v>
      </c>
      <c r="E36" s="12">
        <v>2</v>
      </c>
      <c r="F36" s="12" t="s">
        <v>113</v>
      </c>
      <c r="G36" s="8">
        <v>1</v>
      </c>
      <c r="H36" s="8" t="s">
        <v>213</v>
      </c>
      <c r="I36" s="8" t="s">
        <v>148</v>
      </c>
      <c r="K36" s="18" t="s">
        <v>105</v>
      </c>
    </row>
    <row r="37" spans="1:11" x14ac:dyDescent="0.25">
      <c r="A37" t="s">
        <v>268</v>
      </c>
      <c r="B37" s="52">
        <v>1</v>
      </c>
      <c r="C37" t="s">
        <v>111</v>
      </c>
      <c r="D37" t="s">
        <v>133</v>
      </c>
      <c r="E37" s="12">
        <v>2</v>
      </c>
      <c r="F37" s="12" t="s">
        <v>113</v>
      </c>
      <c r="G37" s="8">
        <v>0</v>
      </c>
      <c r="H37" s="8" t="s">
        <v>210</v>
      </c>
      <c r="I37" s="8" t="s">
        <v>149</v>
      </c>
      <c r="K37" s="18" t="s">
        <v>255</v>
      </c>
    </row>
    <row r="38" spans="1:11" x14ac:dyDescent="0.25">
      <c r="B38" s="52">
        <v>1</v>
      </c>
      <c r="C38" t="s">
        <v>111</v>
      </c>
      <c r="D38" t="s">
        <v>133</v>
      </c>
      <c r="E38" s="12"/>
      <c r="F38" s="12" t="s">
        <v>113</v>
      </c>
      <c r="G38" s="8">
        <v>0</v>
      </c>
      <c r="H38" s="8"/>
      <c r="I38" s="8" t="s">
        <v>146</v>
      </c>
      <c r="J38" t="s">
        <v>126</v>
      </c>
      <c r="K38" s="18"/>
    </row>
    <row r="39" spans="1:11" x14ac:dyDescent="0.25">
      <c r="B39" s="52">
        <v>1</v>
      </c>
      <c r="C39" t="s">
        <v>127</v>
      </c>
      <c r="D39" t="s">
        <v>133</v>
      </c>
      <c r="E39" s="12"/>
      <c r="F39" s="12" t="s">
        <v>113</v>
      </c>
      <c r="G39" s="8">
        <v>0</v>
      </c>
      <c r="H39" s="8"/>
      <c r="I39" s="8" t="s">
        <v>155</v>
      </c>
      <c r="J39" t="s">
        <v>126</v>
      </c>
      <c r="K39" s="18"/>
    </row>
    <row r="40" spans="1:11" x14ac:dyDescent="0.25">
      <c r="A40" t="s">
        <v>153</v>
      </c>
      <c r="B40" s="52">
        <v>1</v>
      </c>
      <c r="C40" t="s">
        <v>118</v>
      </c>
      <c r="D40" t="s">
        <v>135</v>
      </c>
      <c r="E40" s="12">
        <v>2</v>
      </c>
      <c r="F40" s="12" t="s">
        <v>154</v>
      </c>
      <c r="G40" s="8">
        <v>0</v>
      </c>
      <c r="H40" s="8" t="s">
        <v>213</v>
      </c>
      <c r="I40" s="8" t="s">
        <v>148</v>
      </c>
      <c r="K40" s="18" t="s">
        <v>106</v>
      </c>
    </row>
    <row r="41" spans="1:11" x14ac:dyDescent="0.25">
      <c r="A41" t="s">
        <v>269</v>
      </c>
      <c r="B41" s="52">
        <v>1</v>
      </c>
      <c r="C41" t="s">
        <v>127</v>
      </c>
      <c r="D41" t="s">
        <v>135</v>
      </c>
      <c r="E41" s="12">
        <v>3</v>
      </c>
      <c r="F41" s="12" t="s">
        <v>113</v>
      </c>
      <c r="G41" s="8">
        <v>0</v>
      </c>
      <c r="H41" s="8" t="s">
        <v>213</v>
      </c>
      <c r="I41" s="8" t="s">
        <v>155</v>
      </c>
      <c r="K41" s="18" t="s">
        <v>107</v>
      </c>
    </row>
    <row r="42" spans="1:11" x14ac:dyDescent="0.25">
      <c r="A42" t="s">
        <v>270</v>
      </c>
      <c r="B42" s="52">
        <v>1</v>
      </c>
      <c r="C42" t="s">
        <v>111</v>
      </c>
      <c r="D42" t="s">
        <v>135</v>
      </c>
      <c r="E42" s="12">
        <v>3</v>
      </c>
      <c r="F42" s="12" t="s">
        <v>113</v>
      </c>
      <c r="G42" s="8">
        <v>0</v>
      </c>
      <c r="H42" s="8" t="s">
        <v>209</v>
      </c>
      <c r="I42" s="8" t="s">
        <v>146</v>
      </c>
      <c r="K42" s="18" t="s">
        <v>333</v>
      </c>
    </row>
    <row r="43" spans="1:11" x14ac:dyDescent="0.25">
      <c r="A43" t="s">
        <v>271</v>
      </c>
      <c r="B43" s="52">
        <v>1</v>
      </c>
      <c r="C43" t="s">
        <v>127</v>
      </c>
      <c r="D43" t="s">
        <v>135</v>
      </c>
      <c r="E43" s="12">
        <v>2</v>
      </c>
      <c r="F43" s="12" t="s">
        <v>113</v>
      </c>
      <c r="G43" s="8">
        <v>0</v>
      </c>
      <c r="H43" s="8" t="s">
        <v>210</v>
      </c>
      <c r="I43" s="8" t="s">
        <v>155</v>
      </c>
      <c r="K43" s="18" t="s">
        <v>259</v>
      </c>
    </row>
    <row r="44" spans="1:11" x14ac:dyDescent="0.25">
      <c r="B44" s="52">
        <v>1</v>
      </c>
      <c r="D44" t="s">
        <v>135</v>
      </c>
      <c r="E44" s="12"/>
      <c r="F44" s="12"/>
      <c r="G44" s="8">
        <v>0</v>
      </c>
      <c r="H44" s="8"/>
      <c r="I44" s="8"/>
      <c r="J44" t="s">
        <v>126</v>
      </c>
      <c r="K44" s="18"/>
    </row>
    <row r="45" spans="1:11" x14ac:dyDescent="0.25">
      <c r="B45" s="52">
        <v>1</v>
      </c>
      <c r="D45" t="s">
        <v>135</v>
      </c>
      <c r="E45" s="12"/>
      <c r="F45" s="12"/>
      <c r="G45" s="8">
        <v>0</v>
      </c>
      <c r="H45" s="8"/>
      <c r="I45" s="8"/>
      <c r="J45" t="s">
        <v>126</v>
      </c>
      <c r="K45" s="18"/>
    </row>
    <row r="46" spans="1:11" x14ac:dyDescent="0.25">
      <c r="A46" t="s">
        <v>156</v>
      </c>
      <c r="B46" s="52">
        <v>1</v>
      </c>
      <c r="C46" t="s">
        <v>118</v>
      </c>
      <c r="D46" t="s">
        <v>134</v>
      </c>
      <c r="E46" s="12">
        <v>3</v>
      </c>
      <c r="F46" s="12" t="s">
        <v>113</v>
      </c>
      <c r="G46" s="8">
        <v>1</v>
      </c>
      <c r="H46" s="8" t="s">
        <v>209</v>
      </c>
      <c r="I46" s="8" t="s">
        <v>155</v>
      </c>
      <c r="K46" s="18" t="s">
        <v>108</v>
      </c>
    </row>
    <row r="47" spans="1:11" x14ac:dyDescent="0.25">
      <c r="A47" t="s">
        <v>157</v>
      </c>
      <c r="B47" s="52">
        <v>1</v>
      </c>
      <c r="C47" t="s">
        <v>118</v>
      </c>
      <c r="D47" t="s">
        <v>134</v>
      </c>
      <c r="E47" s="12">
        <v>2</v>
      </c>
      <c r="F47" s="12" t="s">
        <v>113</v>
      </c>
      <c r="G47" s="8">
        <v>0</v>
      </c>
      <c r="H47" s="8" t="s">
        <v>211</v>
      </c>
      <c r="I47" s="8" t="s">
        <v>148</v>
      </c>
      <c r="K47" s="18" t="s">
        <v>161</v>
      </c>
    </row>
    <row r="48" spans="1:11" x14ac:dyDescent="0.25">
      <c r="A48" t="s">
        <v>158</v>
      </c>
      <c r="B48" s="52">
        <v>1</v>
      </c>
      <c r="C48" t="s">
        <v>127</v>
      </c>
      <c r="D48" t="s">
        <v>134</v>
      </c>
      <c r="E48" s="12">
        <v>4</v>
      </c>
      <c r="F48" s="12" t="s">
        <v>113</v>
      </c>
      <c r="G48" s="8">
        <v>0</v>
      </c>
      <c r="H48" s="8" t="s">
        <v>210</v>
      </c>
      <c r="I48" s="8" t="s">
        <v>151</v>
      </c>
      <c r="K48" s="18" t="s">
        <v>109</v>
      </c>
    </row>
    <row r="49" spans="1:11" x14ac:dyDescent="0.25">
      <c r="B49" s="52">
        <v>1</v>
      </c>
      <c r="C49" t="s">
        <v>111</v>
      </c>
      <c r="D49" t="s">
        <v>134</v>
      </c>
      <c r="E49" s="12"/>
      <c r="F49" s="12"/>
      <c r="G49" s="8">
        <v>0</v>
      </c>
      <c r="H49" s="8"/>
      <c r="I49" s="8" t="s">
        <v>148</v>
      </c>
      <c r="J49" t="s">
        <v>239</v>
      </c>
      <c r="K49" s="18"/>
    </row>
    <row r="50" spans="1:11" x14ac:dyDescent="0.25">
      <c r="A50" t="s">
        <v>294</v>
      </c>
      <c r="B50" s="52">
        <v>1</v>
      </c>
      <c r="C50" t="s">
        <v>118</v>
      </c>
      <c r="D50" t="s">
        <v>134</v>
      </c>
      <c r="E50" s="12">
        <v>2</v>
      </c>
      <c r="F50" s="12" t="s">
        <v>113</v>
      </c>
      <c r="G50" s="8">
        <v>1</v>
      </c>
      <c r="H50" s="8" t="s">
        <v>210</v>
      </c>
      <c r="I50" s="8" t="s">
        <v>149</v>
      </c>
      <c r="J50" s="8"/>
      <c r="K50" s="18" t="s">
        <v>293</v>
      </c>
    </row>
    <row r="51" spans="1:11" x14ac:dyDescent="0.25">
      <c r="B51" s="52">
        <v>1</v>
      </c>
      <c r="C51" t="s">
        <v>111</v>
      </c>
      <c r="D51" t="s">
        <v>134</v>
      </c>
      <c r="E51" s="12"/>
      <c r="F51" s="12"/>
      <c r="G51" s="8">
        <v>0</v>
      </c>
      <c r="H51" s="8"/>
      <c r="I51" s="8"/>
      <c r="J51" s="8"/>
      <c r="K51" s="18"/>
    </row>
    <row r="52" spans="1:11" x14ac:dyDescent="0.25">
      <c r="A52" t="s">
        <v>272</v>
      </c>
      <c r="B52" s="52">
        <v>1</v>
      </c>
      <c r="C52" t="s">
        <v>127</v>
      </c>
      <c r="D52" t="s">
        <v>136</v>
      </c>
      <c r="E52" s="12">
        <v>6</v>
      </c>
      <c r="F52" s="12" t="s">
        <v>113</v>
      </c>
      <c r="G52" s="8">
        <v>0</v>
      </c>
      <c r="H52" s="8" t="s">
        <v>208</v>
      </c>
      <c r="I52" s="8" t="s">
        <v>152</v>
      </c>
      <c r="K52" s="18" t="s">
        <v>110</v>
      </c>
    </row>
    <row r="53" spans="1:11" x14ac:dyDescent="0.25">
      <c r="B53" s="52">
        <v>1</v>
      </c>
      <c r="C53" t="s">
        <v>111</v>
      </c>
      <c r="D53" t="s">
        <v>136</v>
      </c>
      <c r="E53" s="12"/>
      <c r="F53" s="12"/>
      <c r="G53" s="8">
        <v>0</v>
      </c>
      <c r="H53" s="8"/>
      <c r="I53" s="8" t="s">
        <v>146</v>
      </c>
      <c r="J53" t="s">
        <v>126</v>
      </c>
      <c r="K53" s="18"/>
    </row>
    <row r="54" spans="1:11" x14ac:dyDescent="0.25">
      <c r="B54" s="52">
        <v>1</v>
      </c>
      <c r="C54" t="s">
        <v>118</v>
      </c>
      <c r="D54" t="s">
        <v>136</v>
      </c>
      <c r="E54" s="12"/>
      <c r="F54" s="12"/>
      <c r="G54" s="8">
        <v>1</v>
      </c>
      <c r="H54" s="8"/>
      <c r="I54" s="8" t="s">
        <v>152</v>
      </c>
      <c r="J54" t="s">
        <v>126</v>
      </c>
      <c r="K54" s="18"/>
    </row>
    <row r="55" spans="1:11" x14ac:dyDescent="0.25">
      <c r="A55" t="s">
        <v>319</v>
      </c>
      <c r="B55" s="52">
        <v>1</v>
      </c>
      <c r="C55" t="s">
        <v>127</v>
      </c>
      <c r="D55" t="s">
        <v>136</v>
      </c>
      <c r="E55" s="12">
        <v>5</v>
      </c>
      <c r="F55" s="12" t="s">
        <v>113</v>
      </c>
      <c r="G55" s="8">
        <v>0</v>
      </c>
      <c r="H55" s="8" t="s">
        <v>213</v>
      </c>
      <c r="I55" s="8" t="s">
        <v>152</v>
      </c>
      <c r="K55" s="18" t="s">
        <v>307</v>
      </c>
    </row>
    <row r="56" spans="1:11" x14ac:dyDescent="0.25">
      <c r="A56" t="s">
        <v>328</v>
      </c>
      <c r="B56" s="52">
        <v>1</v>
      </c>
      <c r="C56" t="s">
        <v>127</v>
      </c>
      <c r="D56" t="s">
        <v>136</v>
      </c>
      <c r="E56" s="12">
        <v>2</v>
      </c>
      <c r="F56" s="12" t="s">
        <v>154</v>
      </c>
      <c r="G56" s="8">
        <v>0</v>
      </c>
      <c r="H56" s="8" t="s">
        <v>210</v>
      </c>
      <c r="I56" s="8" t="s">
        <v>148</v>
      </c>
      <c r="K56" s="18" t="s">
        <v>329</v>
      </c>
    </row>
    <row r="57" spans="1:11" x14ac:dyDescent="0.25">
      <c r="A57" t="s">
        <v>162</v>
      </c>
      <c r="B57" s="52">
        <v>2</v>
      </c>
      <c r="C57" t="s">
        <v>111</v>
      </c>
      <c r="D57" t="s">
        <v>112</v>
      </c>
      <c r="E57" s="12">
        <v>8</v>
      </c>
      <c r="F57" s="12" t="s">
        <v>113</v>
      </c>
      <c r="G57" s="8">
        <v>0</v>
      </c>
      <c r="H57" s="8" t="s">
        <v>212</v>
      </c>
      <c r="I57" s="8" t="s">
        <v>146</v>
      </c>
      <c r="K57" s="18" t="s">
        <v>215</v>
      </c>
    </row>
    <row r="58" spans="1:11" x14ac:dyDescent="0.25">
      <c r="A58" t="s">
        <v>273</v>
      </c>
      <c r="B58" s="52">
        <v>2</v>
      </c>
      <c r="C58" t="s">
        <v>118</v>
      </c>
      <c r="D58" t="s">
        <v>112</v>
      </c>
      <c r="E58" s="12">
        <v>6</v>
      </c>
      <c r="F58" s="12" t="s">
        <v>113</v>
      </c>
      <c r="G58" s="8">
        <v>1</v>
      </c>
      <c r="H58" s="8" t="s">
        <v>210</v>
      </c>
      <c r="I58" s="8" t="s">
        <v>146</v>
      </c>
      <c r="K58" s="18" t="s">
        <v>205</v>
      </c>
    </row>
    <row r="59" spans="1:11" x14ac:dyDescent="0.25">
      <c r="B59" s="52">
        <v>2</v>
      </c>
      <c r="D59" t="s">
        <v>112</v>
      </c>
      <c r="E59" s="12"/>
      <c r="F59" s="12"/>
      <c r="G59" s="8">
        <v>0</v>
      </c>
      <c r="H59" s="8"/>
      <c r="I59" s="8" t="s">
        <v>152</v>
      </c>
      <c r="J59" t="s">
        <v>126</v>
      </c>
      <c r="K59" s="18"/>
    </row>
    <row r="60" spans="1:11" x14ac:dyDescent="0.25">
      <c r="B60" s="52">
        <v>2</v>
      </c>
      <c r="D60" t="s">
        <v>112</v>
      </c>
      <c r="E60" s="12"/>
      <c r="F60" s="12"/>
      <c r="G60" s="8">
        <v>0</v>
      </c>
      <c r="H60" s="8"/>
      <c r="I60" s="8" t="s">
        <v>148</v>
      </c>
      <c r="J60" t="s">
        <v>126</v>
      </c>
      <c r="K60" s="18"/>
    </row>
    <row r="61" spans="1:11" x14ac:dyDescent="0.25">
      <c r="B61" s="52">
        <v>2</v>
      </c>
      <c r="D61" t="s">
        <v>112</v>
      </c>
      <c r="E61" s="12"/>
      <c r="F61" s="12"/>
      <c r="G61" s="8">
        <v>0</v>
      </c>
      <c r="H61" s="8"/>
      <c r="I61" s="8" t="s">
        <v>155</v>
      </c>
      <c r="J61" t="s">
        <v>126</v>
      </c>
      <c r="K61" s="18"/>
    </row>
    <row r="62" spans="1:11" x14ac:dyDescent="0.25">
      <c r="A62" t="s">
        <v>164</v>
      </c>
      <c r="B62" s="52">
        <v>2</v>
      </c>
      <c r="C62" t="s">
        <v>118</v>
      </c>
      <c r="D62" t="s">
        <v>129</v>
      </c>
      <c r="E62" s="12">
        <v>3</v>
      </c>
      <c r="F62" s="12" t="s">
        <v>113</v>
      </c>
      <c r="G62" s="8">
        <v>0</v>
      </c>
      <c r="H62" s="8" t="s">
        <v>213</v>
      </c>
      <c r="I62" s="8" t="s">
        <v>149</v>
      </c>
      <c r="K62" s="18" t="s">
        <v>163</v>
      </c>
    </row>
    <row r="63" spans="1:11" x14ac:dyDescent="0.25">
      <c r="A63" t="s">
        <v>165</v>
      </c>
      <c r="B63" s="52">
        <v>2</v>
      </c>
      <c r="C63" t="s">
        <v>111</v>
      </c>
      <c r="D63" t="s">
        <v>129</v>
      </c>
      <c r="E63" s="12">
        <v>8</v>
      </c>
      <c r="F63" s="12" t="s">
        <v>113</v>
      </c>
      <c r="G63" s="8">
        <v>0</v>
      </c>
      <c r="H63" s="8" t="s">
        <v>207</v>
      </c>
      <c r="I63" s="8" t="s">
        <v>146</v>
      </c>
      <c r="K63" s="18" t="s">
        <v>216</v>
      </c>
    </row>
    <row r="64" spans="1:11" x14ac:dyDescent="0.25">
      <c r="A64" t="s">
        <v>274</v>
      </c>
      <c r="B64" s="52">
        <v>2</v>
      </c>
      <c r="C64" t="s">
        <v>127</v>
      </c>
      <c r="D64" t="s">
        <v>129</v>
      </c>
      <c r="E64" s="12">
        <v>5</v>
      </c>
      <c r="F64" s="12" t="s">
        <v>113</v>
      </c>
      <c r="G64" s="8">
        <v>0</v>
      </c>
      <c r="H64" s="8" t="s">
        <v>208</v>
      </c>
      <c r="I64" s="8" t="s">
        <v>152</v>
      </c>
      <c r="K64" s="18" t="s">
        <v>221</v>
      </c>
    </row>
    <row r="65" spans="1:11" x14ac:dyDescent="0.25">
      <c r="B65" s="52">
        <v>2</v>
      </c>
      <c r="D65" t="s">
        <v>129</v>
      </c>
      <c r="E65" s="12"/>
      <c r="F65" s="12"/>
      <c r="G65" s="8">
        <v>0</v>
      </c>
      <c r="H65" s="8"/>
      <c r="I65" s="8" t="s">
        <v>150</v>
      </c>
      <c r="J65" t="s">
        <v>126</v>
      </c>
      <c r="K65" s="18"/>
    </row>
    <row r="66" spans="1:11" x14ac:dyDescent="0.25">
      <c r="A66" t="s">
        <v>219</v>
      </c>
      <c r="B66" s="52">
        <v>2</v>
      </c>
      <c r="C66" t="s">
        <v>118</v>
      </c>
      <c r="D66" t="s">
        <v>129</v>
      </c>
      <c r="E66" s="12">
        <v>6</v>
      </c>
      <c r="F66" s="12" t="s">
        <v>113</v>
      </c>
      <c r="G66" s="8">
        <v>0</v>
      </c>
      <c r="H66" s="8" t="s">
        <v>207</v>
      </c>
      <c r="I66" s="8" t="s">
        <v>146</v>
      </c>
      <c r="K66" s="18" t="s">
        <v>220</v>
      </c>
    </row>
    <row r="67" spans="1:11" x14ac:dyDescent="0.25">
      <c r="A67" t="s">
        <v>167</v>
      </c>
      <c r="B67" s="52">
        <v>2</v>
      </c>
      <c r="C67" t="s">
        <v>127</v>
      </c>
      <c r="D67" t="s">
        <v>130</v>
      </c>
      <c r="E67" s="12">
        <v>4</v>
      </c>
      <c r="F67" s="12" t="s">
        <v>113</v>
      </c>
      <c r="G67" s="8">
        <v>0</v>
      </c>
      <c r="H67" s="8" t="s">
        <v>210</v>
      </c>
      <c r="I67" s="8" t="s">
        <v>151</v>
      </c>
      <c r="K67" s="18" t="s">
        <v>166</v>
      </c>
    </row>
    <row r="68" spans="1:11" x14ac:dyDescent="0.25">
      <c r="A68" t="s">
        <v>168</v>
      </c>
      <c r="B68" s="52">
        <v>2</v>
      </c>
      <c r="C68" t="s">
        <v>111</v>
      </c>
      <c r="D68" t="s">
        <v>130</v>
      </c>
      <c r="E68" s="12">
        <v>8</v>
      </c>
      <c r="F68" s="12" t="s">
        <v>113</v>
      </c>
      <c r="G68" s="8">
        <v>0</v>
      </c>
      <c r="H68" s="8" t="s">
        <v>210</v>
      </c>
      <c r="I68" s="8" t="s">
        <v>146</v>
      </c>
      <c r="K68" s="18" t="s">
        <v>214</v>
      </c>
    </row>
    <row r="69" spans="1:11" x14ac:dyDescent="0.25">
      <c r="B69" s="52">
        <v>2</v>
      </c>
      <c r="D69" t="s">
        <v>130</v>
      </c>
      <c r="E69" s="12"/>
      <c r="F69" s="12"/>
      <c r="G69" s="8">
        <v>0</v>
      </c>
      <c r="H69" s="8"/>
      <c r="I69" s="8" t="s">
        <v>149</v>
      </c>
      <c r="J69" t="s">
        <v>126</v>
      </c>
      <c r="K69" s="18"/>
    </row>
    <row r="70" spans="1:11" x14ac:dyDescent="0.25">
      <c r="A70" t="s">
        <v>275</v>
      </c>
      <c r="B70" s="52">
        <v>2</v>
      </c>
      <c r="C70" t="s">
        <v>127</v>
      </c>
      <c r="D70" t="s">
        <v>130</v>
      </c>
      <c r="E70" s="12">
        <v>4</v>
      </c>
      <c r="F70" s="12" t="s">
        <v>113</v>
      </c>
      <c r="G70" s="8">
        <v>0</v>
      </c>
      <c r="H70" s="8" t="s">
        <v>211</v>
      </c>
      <c r="I70" s="8" t="s">
        <v>152</v>
      </c>
      <c r="K70" s="18" t="s">
        <v>260</v>
      </c>
    </row>
    <row r="71" spans="1:11" x14ac:dyDescent="0.25">
      <c r="A71" t="s">
        <v>276</v>
      </c>
      <c r="B71" s="52">
        <v>2</v>
      </c>
      <c r="C71" t="s">
        <v>118</v>
      </c>
      <c r="D71" t="s">
        <v>130</v>
      </c>
      <c r="E71" s="12">
        <v>6</v>
      </c>
      <c r="F71" s="12" t="s">
        <v>113</v>
      </c>
      <c r="G71" s="8">
        <v>1</v>
      </c>
      <c r="H71" s="8" t="s">
        <v>210</v>
      </c>
      <c r="I71" s="8" t="s">
        <v>146</v>
      </c>
      <c r="K71" s="18" t="s">
        <v>234</v>
      </c>
    </row>
    <row r="72" spans="1:11" x14ac:dyDescent="0.25">
      <c r="A72" t="s">
        <v>277</v>
      </c>
      <c r="B72" s="52">
        <v>2</v>
      </c>
      <c r="C72" t="s">
        <v>118</v>
      </c>
      <c r="D72" t="s">
        <v>131</v>
      </c>
      <c r="E72" s="12">
        <v>5</v>
      </c>
      <c r="F72" s="12" t="s">
        <v>113</v>
      </c>
      <c r="G72" s="8">
        <v>1</v>
      </c>
      <c r="H72" s="8" t="s">
        <v>211</v>
      </c>
      <c r="I72" s="8" t="s">
        <v>155</v>
      </c>
      <c r="K72" s="18" t="s">
        <v>170</v>
      </c>
    </row>
    <row r="73" spans="1:11" x14ac:dyDescent="0.25">
      <c r="A73" t="s">
        <v>278</v>
      </c>
      <c r="B73" s="52">
        <v>2</v>
      </c>
      <c r="C73" t="s">
        <v>111</v>
      </c>
      <c r="D73" t="s">
        <v>131</v>
      </c>
      <c r="E73" s="12">
        <v>4</v>
      </c>
      <c r="F73" s="12" t="s">
        <v>113</v>
      </c>
      <c r="G73" s="8">
        <v>0</v>
      </c>
      <c r="H73" s="8" t="s">
        <v>210</v>
      </c>
      <c r="I73" s="8" t="s">
        <v>149</v>
      </c>
      <c r="K73" s="18" t="s">
        <v>169</v>
      </c>
    </row>
    <row r="74" spans="1:11" x14ac:dyDescent="0.25">
      <c r="B74" s="52">
        <v>2</v>
      </c>
      <c r="D74" t="s">
        <v>131</v>
      </c>
      <c r="E74" s="12"/>
      <c r="F74" s="12"/>
      <c r="G74" s="8">
        <v>0</v>
      </c>
      <c r="H74" s="8"/>
      <c r="I74" s="8" t="s">
        <v>152</v>
      </c>
      <c r="J74" t="s">
        <v>126</v>
      </c>
      <c r="K74" s="18"/>
    </row>
    <row r="75" spans="1:11" x14ac:dyDescent="0.25">
      <c r="B75" s="52">
        <v>2</v>
      </c>
      <c r="D75" t="s">
        <v>131</v>
      </c>
      <c r="E75" s="12"/>
      <c r="F75" s="12"/>
      <c r="G75" s="8">
        <v>0</v>
      </c>
      <c r="H75" s="8"/>
      <c r="I75" s="8" t="s">
        <v>155</v>
      </c>
      <c r="J75" t="s">
        <v>126</v>
      </c>
      <c r="K75" s="18"/>
    </row>
    <row r="76" spans="1:11" x14ac:dyDescent="0.25">
      <c r="B76" s="52">
        <v>2</v>
      </c>
      <c r="D76" t="s">
        <v>131</v>
      </c>
      <c r="E76" s="12"/>
      <c r="F76" s="12"/>
      <c r="G76" s="8">
        <v>0</v>
      </c>
      <c r="H76" s="8"/>
      <c r="I76" s="8" t="s">
        <v>151</v>
      </c>
      <c r="J76" t="s">
        <v>126</v>
      </c>
      <c r="K76" s="18"/>
    </row>
    <row r="77" spans="1:11" x14ac:dyDescent="0.25">
      <c r="A77" t="s">
        <v>279</v>
      </c>
      <c r="B77" s="52">
        <v>2</v>
      </c>
      <c r="C77" t="s">
        <v>127</v>
      </c>
      <c r="D77" t="s">
        <v>132</v>
      </c>
      <c r="E77" s="12">
        <v>5</v>
      </c>
      <c r="F77" s="12" t="s">
        <v>113</v>
      </c>
      <c r="G77" s="8">
        <v>0</v>
      </c>
      <c r="H77" s="8" t="s">
        <v>211</v>
      </c>
      <c r="I77" s="8" t="s">
        <v>152</v>
      </c>
      <c r="K77" s="18" t="s">
        <v>181</v>
      </c>
    </row>
    <row r="78" spans="1:11" x14ac:dyDescent="0.25">
      <c r="A78" t="s">
        <v>236</v>
      </c>
      <c r="B78" s="52">
        <v>2</v>
      </c>
      <c r="C78" t="s">
        <v>118</v>
      </c>
      <c r="D78" t="s">
        <v>132</v>
      </c>
      <c r="E78" s="12">
        <v>3</v>
      </c>
      <c r="F78" s="12" t="s">
        <v>113</v>
      </c>
      <c r="G78" s="8">
        <v>1</v>
      </c>
      <c r="H78" s="8" t="s">
        <v>211</v>
      </c>
      <c r="I78" s="8" t="s">
        <v>148</v>
      </c>
      <c r="K78" s="18" t="s">
        <v>235</v>
      </c>
    </row>
    <row r="79" spans="1:11" x14ac:dyDescent="0.25">
      <c r="A79" t="s">
        <v>180</v>
      </c>
      <c r="B79" s="52">
        <v>2</v>
      </c>
      <c r="C79" t="s">
        <v>118</v>
      </c>
      <c r="D79" t="s">
        <v>132</v>
      </c>
      <c r="E79" s="12">
        <v>3</v>
      </c>
      <c r="F79" s="12" t="s">
        <v>113</v>
      </c>
      <c r="G79" s="8">
        <v>0</v>
      </c>
      <c r="H79" s="8" t="s">
        <v>210</v>
      </c>
      <c r="I79" s="8" t="s">
        <v>149</v>
      </c>
      <c r="K79" s="18" t="s">
        <v>171</v>
      </c>
    </row>
    <row r="80" spans="1:11" x14ac:dyDescent="0.25">
      <c r="A80" t="s">
        <v>179</v>
      </c>
      <c r="B80" s="52">
        <v>2</v>
      </c>
      <c r="C80" t="s">
        <v>118</v>
      </c>
      <c r="D80" t="s">
        <v>132</v>
      </c>
      <c r="E80" s="12">
        <v>4</v>
      </c>
      <c r="F80" s="12" t="s">
        <v>113</v>
      </c>
      <c r="G80" s="8">
        <v>0</v>
      </c>
      <c r="H80" s="8" t="s">
        <v>210</v>
      </c>
      <c r="I80" s="8" t="s">
        <v>149</v>
      </c>
      <c r="K80" s="18" t="s">
        <v>172</v>
      </c>
    </row>
    <row r="81" spans="1:11" x14ac:dyDescent="0.25">
      <c r="B81" s="52">
        <v>2</v>
      </c>
      <c r="C81" t="s">
        <v>111</v>
      </c>
      <c r="D81" t="s">
        <v>132</v>
      </c>
      <c r="E81" s="12"/>
      <c r="F81" s="12"/>
      <c r="G81" s="8">
        <v>0</v>
      </c>
      <c r="H81" s="8"/>
      <c r="I81" s="8" t="s">
        <v>155</v>
      </c>
      <c r="J81" t="s">
        <v>126</v>
      </c>
      <c r="K81" s="18"/>
    </row>
    <row r="82" spans="1:11" x14ac:dyDescent="0.25">
      <c r="B82" s="52">
        <v>2</v>
      </c>
      <c r="C82" t="s">
        <v>111</v>
      </c>
      <c r="D82" t="s">
        <v>132</v>
      </c>
      <c r="E82" s="12"/>
      <c r="F82" s="12"/>
      <c r="G82" s="8">
        <v>0</v>
      </c>
      <c r="H82" s="8"/>
      <c r="I82" s="8" t="s">
        <v>146</v>
      </c>
      <c r="J82" t="s">
        <v>126</v>
      </c>
      <c r="K82" s="18"/>
    </row>
    <row r="83" spans="1:11" x14ac:dyDescent="0.25">
      <c r="A83" t="s">
        <v>280</v>
      </c>
      <c r="B83" s="52">
        <v>2</v>
      </c>
      <c r="C83" t="s">
        <v>118</v>
      </c>
      <c r="D83" t="s">
        <v>132</v>
      </c>
      <c r="E83" s="12">
        <v>5</v>
      </c>
      <c r="F83" s="12" t="s">
        <v>113</v>
      </c>
      <c r="G83" s="8">
        <v>1</v>
      </c>
      <c r="H83" s="8" t="s">
        <v>208</v>
      </c>
      <c r="I83" s="8" t="s">
        <v>155</v>
      </c>
      <c r="K83" s="18" t="s">
        <v>254</v>
      </c>
    </row>
    <row r="84" spans="1:11" x14ac:dyDescent="0.25">
      <c r="A84" t="s">
        <v>281</v>
      </c>
      <c r="B84" s="52">
        <v>2</v>
      </c>
      <c r="C84" t="s">
        <v>118</v>
      </c>
      <c r="D84" t="s">
        <v>133</v>
      </c>
      <c r="E84" s="12">
        <v>7</v>
      </c>
      <c r="F84" s="12" t="s">
        <v>113</v>
      </c>
      <c r="G84" s="8">
        <v>1</v>
      </c>
      <c r="H84" s="8" t="s">
        <v>209</v>
      </c>
      <c r="I84" s="8" t="s">
        <v>152</v>
      </c>
      <c r="K84" s="18" t="s">
        <v>173</v>
      </c>
    </row>
    <row r="85" spans="1:11" x14ac:dyDescent="0.25">
      <c r="A85" t="s">
        <v>282</v>
      </c>
      <c r="B85" s="52">
        <v>2</v>
      </c>
      <c r="C85" t="s">
        <v>111</v>
      </c>
      <c r="D85" t="s">
        <v>133</v>
      </c>
      <c r="E85" s="12">
        <v>4</v>
      </c>
      <c r="F85" s="12" t="s">
        <v>113</v>
      </c>
      <c r="G85" s="8">
        <v>0</v>
      </c>
      <c r="H85" s="8" t="s">
        <v>208</v>
      </c>
      <c r="I85" s="8" t="s">
        <v>149</v>
      </c>
      <c r="K85" s="18" t="s">
        <v>174</v>
      </c>
    </row>
    <row r="86" spans="1:11" x14ac:dyDescent="0.25">
      <c r="A86" t="s">
        <v>283</v>
      </c>
      <c r="B86" s="52">
        <v>2</v>
      </c>
      <c r="C86" t="s">
        <v>111</v>
      </c>
      <c r="D86" t="s">
        <v>133</v>
      </c>
      <c r="E86" s="12">
        <v>5</v>
      </c>
      <c r="F86" s="12" t="s">
        <v>113</v>
      </c>
      <c r="G86" s="8">
        <v>0</v>
      </c>
      <c r="H86" s="8" t="s">
        <v>212</v>
      </c>
      <c r="I86" s="8" t="s">
        <v>151</v>
      </c>
      <c r="K86" s="18" t="s">
        <v>175</v>
      </c>
    </row>
    <row r="87" spans="1:11" x14ac:dyDescent="0.25">
      <c r="A87" t="s">
        <v>284</v>
      </c>
      <c r="B87" s="52">
        <v>2</v>
      </c>
      <c r="C87" t="s">
        <v>127</v>
      </c>
      <c r="D87" t="s">
        <v>133</v>
      </c>
      <c r="E87" s="12">
        <v>4</v>
      </c>
      <c r="F87" s="12" t="s">
        <v>128</v>
      </c>
      <c r="G87" s="8">
        <v>0</v>
      </c>
      <c r="H87" s="8" t="s">
        <v>210</v>
      </c>
      <c r="I87" s="8" t="s">
        <v>150</v>
      </c>
      <c r="K87" s="18" t="s">
        <v>330</v>
      </c>
    </row>
    <row r="88" spans="1:11" x14ac:dyDescent="0.25">
      <c r="B88" s="52">
        <v>2</v>
      </c>
      <c r="D88" t="s">
        <v>133</v>
      </c>
      <c r="E88" s="12"/>
      <c r="F88" s="12"/>
      <c r="G88" s="8">
        <v>0</v>
      </c>
      <c r="H88" s="8"/>
      <c r="I88" s="8" t="s">
        <v>146</v>
      </c>
      <c r="J88" t="s">
        <v>126</v>
      </c>
      <c r="K88" s="18"/>
    </row>
    <row r="89" spans="1:11" x14ac:dyDescent="0.25">
      <c r="A89" t="s">
        <v>285</v>
      </c>
      <c r="B89" s="52">
        <v>2</v>
      </c>
      <c r="C89" t="s">
        <v>118</v>
      </c>
      <c r="D89" t="s">
        <v>135</v>
      </c>
      <c r="E89" s="12">
        <v>6</v>
      </c>
      <c r="F89" s="12" t="s">
        <v>113</v>
      </c>
      <c r="G89" s="8">
        <v>0</v>
      </c>
      <c r="H89" s="8" t="s">
        <v>208</v>
      </c>
      <c r="I89" s="8" t="s">
        <v>152</v>
      </c>
      <c r="K89" s="18" t="s">
        <v>217</v>
      </c>
    </row>
    <row r="90" spans="1:11" x14ac:dyDescent="0.25">
      <c r="A90" t="s">
        <v>286</v>
      </c>
      <c r="B90" s="52">
        <v>2</v>
      </c>
      <c r="C90" t="s">
        <v>127</v>
      </c>
      <c r="D90" t="s">
        <v>135</v>
      </c>
      <c r="E90" s="12">
        <v>5</v>
      </c>
      <c r="F90" s="12" t="s">
        <v>128</v>
      </c>
      <c r="G90" s="8">
        <v>0</v>
      </c>
      <c r="H90" s="8" t="s">
        <v>213</v>
      </c>
      <c r="I90" s="8" t="s">
        <v>155</v>
      </c>
      <c r="K90" s="18" t="s">
        <v>218</v>
      </c>
    </row>
    <row r="91" spans="1:11" x14ac:dyDescent="0.25">
      <c r="B91" s="52">
        <v>2</v>
      </c>
      <c r="D91" t="s">
        <v>135</v>
      </c>
      <c r="E91" s="12"/>
      <c r="F91" s="12"/>
      <c r="G91" s="8">
        <v>0</v>
      </c>
      <c r="H91" s="8"/>
      <c r="I91" s="8" t="s">
        <v>148</v>
      </c>
      <c r="J91" t="s">
        <v>126</v>
      </c>
      <c r="K91" s="18"/>
    </row>
    <row r="92" spans="1:11" x14ac:dyDescent="0.25">
      <c r="B92" s="52">
        <v>2</v>
      </c>
      <c r="D92" t="s">
        <v>135</v>
      </c>
      <c r="E92" s="12"/>
      <c r="F92" s="12"/>
      <c r="G92" s="8">
        <v>0</v>
      </c>
      <c r="H92" s="8"/>
      <c r="I92" s="8" t="s">
        <v>149</v>
      </c>
      <c r="J92" t="s">
        <v>126</v>
      </c>
      <c r="K92" s="18"/>
    </row>
    <row r="93" spans="1:11" x14ac:dyDescent="0.25">
      <c r="A93" t="s">
        <v>287</v>
      </c>
      <c r="B93" s="52">
        <v>2</v>
      </c>
      <c r="C93" t="s">
        <v>118</v>
      </c>
      <c r="D93" t="s">
        <v>134</v>
      </c>
      <c r="E93" s="12">
        <v>4</v>
      </c>
      <c r="F93" s="12" t="s">
        <v>113</v>
      </c>
      <c r="G93" s="8">
        <v>0</v>
      </c>
      <c r="H93" s="8" t="s">
        <v>210</v>
      </c>
      <c r="I93" s="8" t="s">
        <v>148</v>
      </c>
      <c r="K93" s="18" t="s">
        <v>176</v>
      </c>
    </row>
    <row r="94" spans="1:11" x14ac:dyDescent="0.25">
      <c r="B94" s="52">
        <v>2</v>
      </c>
      <c r="D94" t="s">
        <v>134</v>
      </c>
      <c r="E94" s="12"/>
      <c r="F94" s="12"/>
      <c r="G94" s="8">
        <v>0</v>
      </c>
      <c r="H94" s="8"/>
      <c r="I94" s="8" t="s">
        <v>146</v>
      </c>
      <c r="J94" t="s">
        <v>126</v>
      </c>
      <c r="K94" s="18"/>
    </row>
    <row r="95" spans="1:11" x14ac:dyDescent="0.25">
      <c r="B95" s="52">
        <v>2</v>
      </c>
      <c r="D95" t="s">
        <v>134</v>
      </c>
      <c r="E95" s="12"/>
      <c r="F95" s="12"/>
      <c r="G95" s="8">
        <v>0</v>
      </c>
      <c r="H95" s="8"/>
      <c r="I95" s="8" t="s">
        <v>148</v>
      </c>
      <c r="J95" t="s">
        <v>238</v>
      </c>
      <c r="K95" s="18"/>
    </row>
    <row r="96" spans="1:11" x14ac:dyDescent="0.25">
      <c r="B96" s="52">
        <v>2</v>
      </c>
      <c r="D96" t="s">
        <v>134</v>
      </c>
      <c r="E96" s="12"/>
      <c r="F96" s="12"/>
      <c r="G96" s="8">
        <v>0</v>
      </c>
      <c r="H96" s="8"/>
      <c r="I96" s="8" t="s">
        <v>149</v>
      </c>
      <c r="J96" t="s">
        <v>126</v>
      </c>
      <c r="K96" s="18"/>
    </row>
    <row r="97" spans="1:11" x14ac:dyDescent="0.25">
      <c r="A97" t="s">
        <v>182</v>
      </c>
      <c r="B97" s="52">
        <v>2</v>
      </c>
      <c r="C97" t="s">
        <v>118</v>
      </c>
      <c r="D97" t="s">
        <v>136</v>
      </c>
      <c r="E97" s="12">
        <v>3</v>
      </c>
      <c r="F97" s="12" t="s">
        <v>113</v>
      </c>
      <c r="G97" s="8">
        <v>0</v>
      </c>
      <c r="H97" s="8" t="s">
        <v>210</v>
      </c>
      <c r="I97" s="8" t="s">
        <v>155</v>
      </c>
      <c r="K97" s="18" t="s">
        <v>204</v>
      </c>
    </row>
    <row r="98" spans="1:11" x14ac:dyDescent="0.25">
      <c r="A98" t="s">
        <v>183</v>
      </c>
      <c r="B98" s="52">
        <v>2</v>
      </c>
      <c r="C98" t="s">
        <v>127</v>
      </c>
      <c r="D98" t="s">
        <v>136</v>
      </c>
      <c r="E98" s="12">
        <v>6</v>
      </c>
      <c r="F98" s="12" t="s">
        <v>113</v>
      </c>
      <c r="G98" s="8">
        <v>0</v>
      </c>
      <c r="H98" s="8" t="s">
        <v>213</v>
      </c>
      <c r="I98" s="8" t="s">
        <v>152</v>
      </c>
      <c r="K98" s="18" t="s">
        <v>177</v>
      </c>
    </row>
    <row r="99" spans="1:11" x14ac:dyDescent="0.25">
      <c r="A99" t="s">
        <v>184</v>
      </c>
      <c r="B99" s="52">
        <v>2</v>
      </c>
      <c r="C99" t="s">
        <v>127</v>
      </c>
      <c r="D99" t="s">
        <v>136</v>
      </c>
      <c r="E99" s="12">
        <v>4</v>
      </c>
      <c r="F99" s="12" t="s">
        <v>128</v>
      </c>
      <c r="G99" s="8">
        <v>0</v>
      </c>
      <c r="H99" s="8" t="s">
        <v>209</v>
      </c>
      <c r="I99" s="8" t="s">
        <v>152</v>
      </c>
      <c r="K99" s="18" t="s">
        <v>178</v>
      </c>
    </row>
    <row r="100" spans="1:11" x14ac:dyDescent="0.25">
      <c r="B100" s="52">
        <v>2</v>
      </c>
      <c r="D100" t="s">
        <v>136</v>
      </c>
      <c r="E100" s="12"/>
      <c r="F100" s="12"/>
      <c r="G100" s="8">
        <v>0</v>
      </c>
      <c r="H100" s="8"/>
      <c r="I100" s="8" t="s">
        <v>146</v>
      </c>
      <c r="J100" t="s">
        <v>126</v>
      </c>
      <c r="K100" s="18"/>
    </row>
    <row r="101" spans="1:11" x14ac:dyDescent="0.25">
      <c r="B101" s="52">
        <v>3</v>
      </c>
      <c r="D101" t="s">
        <v>112</v>
      </c>
      <c r="E101" s="12"/>
      <c r="F101" s="12"/>
      <c r="G101" s="8">
        <v>0</v>
      </c>
      <c r="H101" s="8"/>
      <c r="I101" s="8" t="s">
        <v>149</v>
      </c>
      <c r="J101" t="s">
        <v>126</v>
      </c>
      <c r="K101" s="18"/>
    </row>
    <row r="102" spans="1:11" x14ac:dyDescent="0.25">
      <c r="B102" s="52">
        <v>3</v>
      </c>
      <c r="D102" t="s">
        <v>112</v>
      </c>
      <c r="E102" s="12"/>
      <c r="F102" s="12"/>
      <c r="G102" s="8">
        <v>0</v>
      </c>
      <c r="H102" s="8"/>
      <c r="I102" s="8" t="s">
        <v>146</v>
      </c>
      <c r="J102" t="s">
        <v>126</v>
      </c>
      <c r="K102" s="18"/>
    </row>
    <row r="103" spans="1:11" x14ac:dyDescent="0.25">
      <c r="A103" t="s">
        <v>189</v>
      </c>
      <c r="B103" s="52">
        <v>3</v>
      </c>
      <c r="C103" t="s">
        <v>118</v>
      </c>
      <c r="D103" t="s">
        <v>112</v>
      </c>
      <c r="E103" s="12">
        <v>6</v>
      </c>
      <c r="F103" s="12" t="s">
        <v>113</v>
      </c>
      <c r="G103" s="8">
        <v>0</v>
      </c>
      <c r="H103" s="8" t="s">
        <v>209</v>
      </c>
      <c r="I103" s="8" t="s">
        <v>146</v>
      </c>
      <c r="J103" s="8"/>
      <c r="K103" s="18" t="s">
        <v>185</v>
      </c>
    </row>
    <row r="104" spans="1:11" x14ac:dyDescent="0.25">
      <c r="A104" t="s">
        <v>232</v>
      </c>
      <c r="B104" s="52">
        <v>3</v>
      </c>
      <c r="C104" t="s">
        <v>111</v>
      </c>
      <c r="D104" t="s">
        <v>129</v>
      </c>
      <c r="E104" s="12">
        <v>5</v>
      </c>
      <c r="F104" s="12" t="s">
        <v>113</v>
      </c>
      <c r="G104" s="8">
        <v>0</v>
      </c>
      <c r="H104" s="8" t="s">
        <v>209</v>
      </c>
      <c r="I104" s="8" t="s">
        <v>150</v>
      </c>
      <c r="K104" s="18" t="s">
        <v>256</v>
      </c>
    </row>
    <row r="105" spans="1:11" x14ac:dyDescent="0.25">
      <c r="A105" t="s">
        <v>231</v>
      </c>
      <c r="B105" s="52">
        <v>3</v>
      </c>
      <c r="C105" t="s">
        <v>118</v>
      </c>
      <c r="D105" t="s">
        <v>129</v>
      </c>
      <c r="E105" s="12">
        <v>6</v>
      </c>
      <c r="F105" s="12" t="s">
        <v>113</v>
      </c>
      <c r="G105" s="8">
        <v>1</v>
      </c>
      <c r="H105" s="8" t="s">
        <v>211</v>
      </c>
      <c r="I105" s="8" t="s">
        <v>152</v>
      </c>
      <c r="K105" s="18" t="s">
        <v>230</v>
      </c>
    </row>
    <row r="106" spans="1:11" x14ac:dyDescent="0.25">
      <c r="A106" t="s">
        <v>190</v>
      </c>
      <c r="B106" s="52">
        <v>3</v>
      </c>
      <c r="C106" t="s">
        <v>127</v>
      </c>
      <c r="D106" t="s">
        <v>129</v>
      </c>
      <c r="E106" s="12">
        <v>5</v>
      </c>
      <c r="F106" s="12" t="s">
        <v>113</v>
      </c>
      <c r="G106" s="8">
        <v>0</v>
      </c>
      <c r="H106" s="8" t="s">
        <v>211</v>
      </c>
      <c r="I106" s="8" t="s">
        <v>152</v>
      </c>
      <c r="J106" s="8"/>
      <c r="K106" s="18" t="s">
        <v>195</v>
      </c>
    </row>
    <row r="107" spans="1:11" x14ac:dyDescent="0.25">
      <c r="A107" t="s">
        <v>288</v>
      </c>
      <c r="B107" s="52">
        <v>3</v>
      </c>
      <c r="C107" t="s">
        <v>127</v>
      </c>
      <c r="D107" t="s">
        <v>130</v>
      </c>
      <c r="E107" s="12">
        <v>5</v>
      </c>
      <c r="F107" s="12" t="s">
        <v>128</v>
      </c>
      <c r="G107" s="8">
        <v>0</v>
      </c>
      <c r="H107" s="8" t="s">
        <v>211</v>
      </c>
      <c r="I107" s="8" t="s">
        <v>151</v>
      </c>
      <c r="K107" s="18" t="s">
        <v>250</v>
      </c>
    </row>
    <row r="108" spans="1:11" x14ac:dyDescent="0.25">
      <c r="A108" t="s">
        <v>249</v>
      </c>
      <c r="B108" s="52">
        <v>3</v>
      </c>
      <c r="C108" t="s">
        <v>118</v>
      </c>
      <c r="D108" t="s">
        <v>130</v>
      </c>
      <c r="E108" s="12">
        <v>7</v>
      </c>
      <c r="F108" s="12" t="s">
        <v>113</v>
      </c>
      <c r="G108" s="8">
        <v>1</v>
      </c>
      <c r="H108" s="8" t="s">
        <v>213</v>
      </c>
      <c r="I108" s="8" t="s">
        <v>149</v>
      </c>
      <c r="K108" s="18" t="s">
        <v>251</v>
      </c>
    </row>
    <row r="109" spans="1:11" x14ac:dyDescent="0.25">
      <c r="A109" t="s">
        <v>191</v>
      </c>
      <c r="B109" s="52">
        <v>3</v>
      </c>
      <c r="C109" t="s">
        <v>111</v>
      </c>
      <c r="D109" t="s">
        <v>130</v>
      </c>
      <c r="E109" s="12">
        <v>9</v>
      </c>
      <c r="F109" s="12" t="s">
        <v>113</v>
      </c>
      <c r="G109" s="8">
        <v>0</v>
      </c>
      <c r="H109" s="8" t="s">
        <v>207</v>
      </c>
      <c r="I109" s="8" t="s">
        <v>146</v>
      </c>
      <c r="J109" s="8"/>
      <c r="K109" s="18" t="s">
        <v>186</v>
      </c>
    </row>
    <row r="110" spans="1:11" x14ac:dyDescent="0.25">
      <c r="A110" t="s">
        <v>289</v>
      </c>
      <c r="B110" s="52">
        <v>3</v>
      </c>
      <c r="C110" t="s">
        <v>118</v>
      </c>
      <c r="D110" t="s">
        <v>131</v>
      </c>
      <c r="E110" s="12">
        <v>8</v>
      </c>
      <c r="F110" s="12" t="s">
        <v>113</v>
      </c>
      <c r="G110" s="8">
        <v>1</v>
      </c>
      <c r="H110" s="8" t="s">
        <v>209</v>
      </c>
      <c r="I110" s="8" t="s">
        <v>146</v>
      </c>
      <c r="K110" s="18" t="s">
        <v>252</v>
      </c>
    </row>
    <row r="111" spans="1:11" x14ac:dyDescent="0.25">
      <c r="B111" s="52">
        <v>3</v>
      </c>
      <c r="D111" t="s">
        <v>131</v>
      </c>
      <c r="E111" s="12"/>
      <c r="F111" s="12"/>
      <c r="G111" s="8">
        <v>0</v>
      </c>
      <c r="H111" s="8"/>
      <c r="I111" s="8" t="s">
        <v>155</v>
      </c>
      <c r="J111" t="s">
        <v>126</v>
      </c>
      <c r="K111" s="18"/>
    </row>
    <row r="112" spans="1:11" x14ac:dyDescent="0.25">
      <c r="A112" t="s">
        <v>290</v>
      </c>
      <c r="B112" s="52">
        <v>3</v>
      </c>
      <c r="C112" t="s">
        <v>111</v>
      </c>
      <c r="D112" t="s">
        <v>131</v>
      </c>
      <c r="E112" s="12">
        <v>8</v>
      </c>
      <c r="F112" s="12" t="s">
        <v>113</v>
      </c>
      <c r="G112" s="8">
        <v>0</v>
      </c>
      <c r="H112" s="8" t="s">
        <v>209</v>
      </c>
      <c r="I112" s="8" t="s">
        <v>146</v>
      </c>
      <c r="K112" s="18" t="s">
        <v>253</v>
      </c>
    </row>
    <row r="113" spans="1:11" x14ac:dyDescent="0.25">
      <c r="A113" t="s">
        <v>202</v>
      </c>
      <c r="B113" s="52">
        <v>3</v>
      </c>
      <c r="C113" t="s">
        <v>118</v>
      </c>
      <c r="D113" t="s">
        <v>131</v>
      </c>
      <c r="E113" s="12">
        <v>6</v>
      </c>
      <c r="F113" s="12" t="s">
        <v>113</v>
      </c>
      <c r="G113" s="8">
        <v>0</v>
      </c>
      <c r="H113" s="8" t="s">
        <v>210</v>
      </c>
      <c r="I113" s="8" t="s">
        <v>150</v>
      </c>
      <c r="K113" s="18" t="s">
        <v>203</v>
      </c>
    </row>
    <row r="114" spans="1:11" x14ac:dyDescent="0.25">
      <c r="B114" s="52">
        <v>3</v>
      </c>
      <c r="C114" t="s">
        <v>111</v>
      </c>
      <c r="D114" t="s">
        <v>132</v>
      </c>
      <c r="E114" s="12"/>
      <c r="F114" s="12" t="s">
        <v>113</v>
      </c>
      <c r="G114" s="8">
        <v>0</v>
      </c>
      <c r="H114" s="8"/>
      <c r="I114" s="8" t="s">
        <v>148</v>
      </c>
      <c r="J114" t="s">
        <v>126</v>
      </c>
      <c r="K114" s="18"/>
    </row>
    <row r="115" spans="1:11" x14ac:dyDescent="0.25">
      <c r="A115" t="s">
        <v>244</v>
      </c>
      <c r="B115" s="52">
        <v>3</v>
      </c>
      <c r="C115" t="s">
        <v>118</v>
      </c>
      <c r="D115" t="s">
        <v>132</v>
      </c>
      <c r="E115" s="12">
        <v>7</v>
      </c>
      <c r="F115" s="12" t="s">
        <v>113</v>
      </c>
      <c r="G115" s="8">
        <v>1</v>
      </c>
      <c r="H115" s="8" t="s">
        <v>211</v>
      </c>
      <c r="I115" s="8" t="s">
        <v>155</v>
      </c>
      <c r="K115" s="18" t="s">
        <v>248</v>
      </c>
    </row>
    <row r="116" spans="1:11" x14ac:dyDescent="0.25">
      <c r="A116" t="s">
        <v>257</v>
      </c>
      <c r="B116" s="52">
        <v>3</v>
      </c>
      <c r="C116" t="s">
        <v>118</v>
      </c>
      <c r="D116" t="s">
        <v>132</v>
      </c>
      <c r="E116" s="12">
        <v>6</v>
      </c>
      <c r="F116" s="12" t="s">
        <v>113</v>
      </c>
      <c r="G116" s="8">
        <v>0</v>
      </c>
      <c r="H116" s="8" t="s">
        <v>210</v>
      </c>
      <c r="I116" s="8" t="s">
        <v>149</v>
      </c>
      <c r="J116" s="8"/>
      <c r="K116" s="18" t="s">
        <v>258</v>
      </c>
    </row>
    <row r="117" spans="1:11" x14ac:dyDescent="0.25">
      <c r="A117" t="s">
        <v>192</v>
      </c>
      <c r="B117" s="52">
        <v>3</v>
      </c>
      <c r="C117" t="s">
        <v>118</v>
      </c>
      <c r="D117" t="s">
        <v>132</v>
      </c>
      <c r="E117" s="12"/>
      <c r="F117" s="12" t="s">
        <v>113</v>
      </c>
      <c r="G117" s="8">
        <v>0</v>
      </c>
      <c r="H117" s="8" t="s">
        <v>208</v>
      </c>
      <c r="I117" s="8" t="s">
        <v>146</v>
      </c>
      <c r="J117" s="8"/>
      <c r="K117" s="18" t="s">
        <v>187</v>
      </c>
    </row>
    <row r="118" spans="1:11" x14ac:dyDescent="0.25">
      <c r="A118" t="s">
        <v>193</v>
      </c>
      <c r="B118" s="52">
        <v>3</v>
      </c>
      <c r="C118" t="s">
        <v>127</v>
      </c>
      <c r="D118" t="s">
        <v>132</v>
      </c>
      <c r="E118" s="12">
        <v>5</v>
      </c>
      <c r="F118" s="12" t="s">
        <v>113</v>
      </c>
      <c r="G118" s="8">
        <v>0</v>
      </c>
      <c r="H118" s="8" t="s">
        <v>211</v>
      </c>
      <c r="I118" s="8" t="s">
        <v>152</v>
      </c>
      <c r="J118" s="8"/>
      <c r="K118" s="18" t="s">
        <v>229</v>
      </c>
    </row>
    <row r="119" spans="1:11" x14ac:dyDescent="0.25">
      <c r="B119" s="52">
        <v>3</v>
      </c>
      <c r="C119" t="s">
        <v>118</v>
      </c>
      <c r="D119" t="s">
        <v>133</v>
      </c>
      <c r="E119" s="12">
        <v>5</v>
      </c>
      <c r="F119" s="12" t="s">
        <v>113</v>
      </c>
      <c r="G119" s="8">
        <v>1</v>
      </c>
      <c r="H119" s="8" t="s">
        <v>213</v>
      </c>
      <c r="I119" s="8" t="s">
        <v>151</v>
      </c>
      <c r="K119" s="18" t="s">
        <v>297</v>
      </c>
    </row>
    <row r="120" spans="1:11" x14ac:dyDescent="0.25">
      <c r="A120" t="s">
        <v>291</v>
      </c>
      <c r="B120" s="52">
        <v>3</v>
      </c>
      <c r="C120" t="s">
        <v>127</v>
      </c>
      <c r="D120" t="s">
        <v>133</v>
      </c>
      <c r="E120" s="12">
        <v>3</v>
      </c>
      <c r="F120" s="12" t="s">
        <v>128</v>
      </c>
      <c r="G120" s="8">
        <v>0</v>
      </c>
      <c r="H120" s="8" t="s">
        <v>208</v>
      </c>
      <c r="I120" s="8" t="s">
        <v>155</v>
      </c>
      <c r="K120" s="18" t="s">
        <v>243</v>
      </c>
    </row>
    <row r="121" spans="1:11" x14ac:dyDescent="0.25">
      <c r="B121" s="52">
        <v>3</v>
      </c>
      <c r="C121" t="s">
        <v>111</v>
      </c>
      <c r="D121" t="s">
        <v>133</v>
      </c>
      <c r="E121" s="12"/>
      <c r="F121" s="12"/>
      <c r="G121" s="8">
        <v>0</v>
      </c>
      <c r="H121" s="8"/>
      <c r="I121" s="8" t="s">
        <v>149</v>
      </c>
      <c r="J121" t="s">
        <v>126</v>
      </c>
      <c r="K121" s="18"/>
    </row>
    <row r="122" spans="1:11" x14ac:dyDescent="0.25">
      <c r="A122" t="s">
        <v>246</v>
      </c>
      <c r="B122" s="52">
        <v>3</v>
      </c>
      <c r="C122" t="s">
        <v>127</v>
      </c>
      <c r="D122" t="s">
        <v>135</v>
      </c>
      <c r="E122" s="12">
        <v>6</v>
      </c>
      <c r="F122" s="12" t="s">
        <v>113</v>
      </c>
      <c r="G122" s="8">
        <v>0</v>
      </c>
      <c r="H122" s="8" t="s">
        <v>211</v>
      </c>
      <c r="I122" s="8" t="s">
        <v>146</v>
      </c>
      <c r="K122" s="18" t="s">
        <v>247</v>
      </c>
    </row>
    <row r="123" spans="1:11" x14ac:dyDescent="0.25">
      <c r="B123" s="52">
        <v>3</v>
      </c>
      <c r="D123" t="s">
        <v>135</v>
      </c>
      <c r="E123" s="12"/>
      <c r="F123" s="12"/>
      <c r="G123" s="8">
        <v>0</v>
      </c>
      <c r="H123" s="8"/>
      <c r="I123" s="8" t="s">
        <v>155</v>
      </c>
      <c r="J123" t="s">
        <v>126</v>
      </c>
      <c r="K123" s="18"/>
    </row>
    <row r="124" spans="1:11" x14ac:dyDescent="0.25">
      <c r="B124" s="52">
        <v>3</v>
      </c>
      <c r="D124" t="s">
        <v>135</v>
      </c>
      <c r="E124" s="12"/>
      <c r="F124" s="12"/>
      <c r="G124" s="8">
        <v>0</v>
      </c>
      <c r="H124" s="8"/>
      <c r="I124" s="8" t="s">
        <v>152</v>
      </c>
      <c r="J124" t="s">
        <v>126</v>
      </c>
      <c r="K124" s="18"/>
    </row>
    <row r="125" spans="1:11" x14ac:dyDescent="0.25">
      <c r="B125" s="52">
        <v>3</v>
      </c>
      <c r="C125" t="s">
        <v>127</v>
      </c>
      <c r="D125" t="s">
        <v>134</v>
      </c>
      <c r="E125" s="12"/>
      <c r="F125" s="12"/>
      <c r="G125" s="8">
        <v>0</v>
      </c>
      <c r="H125" s="8"/>
      <c r="I125" s="8" t="s">
        <v>148</v>
      </c>
      <c r="J125" t="s">
        <v>237</v>
      </c>
      <c r="K125" s="18"/>
    </row>
    <row r="126" spans="1:11" x14ac:dyDescent="0.25">
      <c r="B126" s="52">
        <v>3</v>
      </c>
      <c r="D126" t="s">
        <v>134</v>
      </c>
      <c r="E126" s="12"/>
      <c r="F126" s="12"/>
      <c r="G126" s="8">
        <v>0</v>
      </c>
      <c r="H126" s="8"/>
      <c r="I126" s="8" t="s">
        <v>148</v>
      </c>
      <c r="J126" t="s">
        <v>126</v>
      </c>
      <c r="K126" s="18"/>
    </row>
    <row r="127" spans="1:11" x14ac:dyDescent="0.25">
      <c r="A127" t="s">
        <v>194</v>
      </c>
      <c r="B127" s="52">
        <v>3</v>
      </c>
      <c r="C127" t="s">
        <v>118</v>
      </c>
      <c r="D127" t="s">
        <v>134</v>
      </c>
      <c r="E127" s="12">
        <v>6</v>
      </c>
      <c r="F127" s="12" t="s">
        <v>113</v>
      </c>
      <c r="G127" s="8">
        <v>0</v>
      </c>
      <c r="H127" s="8" t="s">
        <v>208</v>
      </c>
      <c r="I127" s="8" t="s">
        <v>146</v>
      </c>
      <c r="J127" s="8"/>
      <c r="K127" s="18" t="s">
        <v>188</v>
      </c>
    </row>
    <row r="128" spans="1:11" x14ac:dyDescent="0.25">
      <c r="A128" t="s">
        <v>318</v>
      </c>
      <c r="B128" s="52">
        <v>3</v>
      </c>
      <c r="C128" t="s">
        <v>127</v>
      </c>
      <c r="D128" t="s">
        <v>136</v>
      </c>
      <c r="E128" s="12">
        <v>5</v>
      </c>
      <c r="F128" s="12" t="s">
        <v>113</v>
      </c>
      <c r="G128" s="8">
        <v>0</v>
      </c>
      <c r="H128" s="8" t="s">
        <v>208</v>
      </c>
      <c r="I128" s="8" t="s">
        <v>152</v>
      </c>
      <c r="K128" s="18" t="s">
        <v>308</v>
      </c>
    </row>
    <row r="129" spans="1:11" x14ac:dyDescent="0.25">
      <c r="B129" s="52">
        <v>3</v>
      </c>
      <c r="D129" t="s">
        <v>136</v>
      </c>
      <c r="E129" s="12"/>
      <c r="F129" s="12"/>
      <c r="G129" s="8">
        <v>0</v>
      </c>
      <c r="H129" s="8"/>
      <c r="I129" s="8" t="s">
        <v>146</v>
      </c>
      <c r="J129" t="s">
        <v>126</v>
      </c>
      <c r="K129" s="18"/>
    </row>
    <row r="130" spans="1:11" x14ac:dyDescent="0.25">
      <c r="B130" s="52">
        <v>3</v>
      </c>
      <c r="D130" t="s">
        <v>136</v>
      </c>
      <c r="E130" s="12"/>
      <c r="F130" s="12"/>
      <c r="G130" s="8">
        <v>0</v>
      </c>
      <c r="H130" s="8"/>
      <c r="I130" s="8" t="s">
        <v>155</v>
      </c>
      <c r="J130" t="s">
        <v>126</v>
      </c>
      <c r="K130" s="18"/>
    </row>
    <row r="131" spans="1:11" x14ac:dyDescent="0.25">
      <c r="B131" s="52">
        <v>1</v>
      </c>
      <c r="D131" t="s">
        <v>112</v>
      </c>
      <c r="E131" s="12"/>
      <c r="F131" s="12" t="s">
        <v>295</v>
      </c>
      <c r="G131" s="8">
        <v>0</v>
      </c>
      <c r="H131" s="8"/>
      <c r="I131" s="8"/>
      <c r="J131" t="s">
        <v>126</v>
      </c>
      <c r="K131" s="18"/>
    </row>
    <row r="132" spans="1:11" x14ac:dyDescent="0.25">
      <c r="B132" s="52">
        <v>1</v>
      </c>
      <c r="D132" t="s">
        <v>129</v>
      </c>
      <c r="E132" s="12"/>
      <c r="F132" s="12" t="s">
        <v>295</v>
      </c>
      <c r="G132" s="8">
        <v>0</v>
      </c>
      <c r="H132" s="8"/>
      <c r="I132" s="8"/>
      <c r="J132" t="s">
        <v>126</v>
      </c>
      <c r="K132" s="18"/>
    </row>
    <row r="133" spans="1:11" x14ac:dyDescent="0.25">
      <c r="A133" t="s">
        <v>310</v>
      </c>
      <c r="B133" s="52">
        <v>1</v>
      </c>
      <c r="C133" t="s">
        <v>118</v>
      </c>
      <c r="D133" t="s">
        <v>130</v>
      </c>
      <c r="E133" s="12">
        <v>4</v>
      </c>
      <c r="F133" s="12" t="s">
        <v>295</v>
      </c>
      <c r="G133" s="8">
        <v>1</v>
      </c>
      <c r="H133" s="8" t="s">
        <v>210</v>
      </c>
      <c r="I133" s="8" t="s">
        <v>149</v>
      </c>
      <c r="K133" s="18" t="s">
        <v>322</v>
      </c>
    </row>
    <row r="134" spans="1:11" x14ac:dyDescent="0.25">
      <c r="A134" t="s">
        <v>309</v>
      </c>
      <c r="B134" s="52">
        <v>1</v>
      </c>
      <c r="C134" t="s">
        <v>111</v>
      </c>
      <c r="D134" t="s">
        <v>131</v>
      </c>
      <c r="E134" s="12">
        <v>3</v>
      </c>
      <c r="F134" s="12" t="s">
        <v>295</v>
      </c>
      <c r="G134" s="8">
        <v>0</v>
      </c>
      <c r="H134" s="8" t="s">
        <v>210</v>
      </c>
      <c r="I134" s="8" t="s">
        <v>149</v>
      </c>
      <c r="K134" s="18" t="s">
        <v>296</v>
      </c>
    </row>
    <row r="135" spans="1:11" x14ac:dyDescent="0.25">
      <c r="A135" t="s">
        <v>300</v>
      </c>
      <c r="B135" s="52">
        <v>1</v>
      </c>
      <c r="C135" t="s">
        <v>127</v>
      </c>
      <c r="D135" t="s">
        <v>132</v>
      </c>
      <c r="E135" s="12">
        <v>4</v>
      </c>
      <c r="F135" s="12" t="s">
        <v>295</v>
      </c>
      <c r="G135" s="8">
        <v>0</v>
      </c>
      <c r="H135" s="8" t="s">
        <v>211</v>
      </c>
      <c r="I135" s="8" t="s">
        <v>155</v>
      </c>
      <c r="K135" s="18" t="s">
        <v>301</v>
      </c>
    </row>
    <row r="136" spans="1:11" x14ac:dyDescent="0.25">
      <c r="B136" s="52">
        <v>1</v>
      </c>
      <c r="D136" t="s">
        <v>133</v>
      </c>
      <c r="E136" s="12"/>
      <c r="F136" s="12" t="s">
        <v>295</v>
      </c>
      <c r="G136" s="8">
        <v>0</v>
      </c>
      <c r="H136" s="8"/>
      <c r="I136" s="8"/>
      <c r="J136" t="s">
        <v>126</v>
      </c>
      <c r="K136" s="18"/>
    </row>
    <row r="137" spans="1:11" x14ac:dyDescent="0.25">
      <c r="B137" s="52">
        <v>1</v>
      </c>
      <c r="D137" t="s">
        <v>135</v>
      </c>
      <c r="E137" s="12"/>
      <c r="F137" s="12" t="s">
        <v>295</v>
      </c>
      <c r="G137" s="8">
        <v>0</v>
      </c>
      <c r="H137" s="8"/>
      <c r="I137" s="8"/>
      <c r="J137" t="s">
        <v>126</v>
      </c>
      <c r="K137" s="18"/>
    </row>
    <row r="138" spans="1:11" x14ac:dyDescent="0.25">
      <c r="B138" s="52">
        <v>1</v>
      </c>
      <c r="D138" t="s">
        <v>134</v>
      </c>
      <c r="E138" s="12"/>
      <c r="F138" s="12" t="s">
        <v>295</v>
      </c>
      <c r="G138" s="8">
        <v>0</v>
      </c>
      <c r="H138" s="8"/>
      <c r="I138" s="8"/>
      <c r="J138" t="s">
        <v>126</v>
      </c>
      <c r="K138" s="18"/>
    </row>
    <row r="139" spans="1:11" x14ac:dyDescent="0.25">
      <c r="A139" t="s">
        <v>332</v>
      </c>
      <c r="B139" s="52">
        <v>1</v>
      </c>
      <c r="C139" t="s">
        <v>118</v>
      </c>
      <c r="D139" t="s">
        <v>136</v>
      </c>
      <c r="E139" s="12">
        <v>6</v>
      </c>
      <c r="F139" s="12" t="s">
        <v>295</v>
      </c>
      <c r="G139" s="8">
        <v>0</v>
      </c>
      <c r="H139" s="8" t="s">
        <v>210</v>
      </c>
      <c r="I139" s="8" t="s">
        <v>149</v>
      </c>
      <c r="K139" s="18" t="s">
        <v>331</v>
      </c>
    </row>
    <row r="140" spans="1:11" x14ac:dyDescent="0.25">
      <c r="A140" t="s">
        <v>302</v>
      </c>
      <c r="B140" s="52">
        <v>2</v>
      </c>
      <c r="C140" t="s">
        <v>111</v>
      </c>
      <c r="D140" t="s">
        <v>112</v>
      </c>
      <c r="E140" s="12">
        <v>7</v>
      </c>
      <c r="F140" s="12" t="s">
        <v>295</v>
      </c>
      <c r="G140" s="8">
        <v>0</v>
      </c>
      <c r="H140" s="8" t="s">
        <v>210</v>
      </c>
      <c r="I140" s="8" t="s">
        <v>146</v>
      </c>
      <c r="K140" s="18" t="s">
        <v>303</v>
      </c>
    </row>
    <row r="141" spans="1:11" x14ac:dyDescent="0.25">
      <c r="B141" s="52">
        <v>2</v>
      </c>
      <c r="C141" t="s">
        <v>111</v>
      </c>
      <c r="D141" t="s">
        <v>129</v>
      </c>
      <c r="E141" s="12">
        <v>5</v>
      </c>
      <c r="F141" s="12" t="s">
        <v>295</v>
      </c>
      <c r="G141" s="8">
        <v>0</v>
      </c>
      <c r="H141" s="8" t="s">
        <v>209</v>
      </c>
      <c r="I141" s="8" t="s">
        <v>150</v>
      </c>
      <c r="K141" s="18" t="s">
        <v>320</v>
      </c>
    </row>
    <row r="142" spans="1:11" x14ac:dyDescent="0.25">
      <c r="B142" s="52">
        <v>2</v>
      </c>
      <c r="C142" t="s">
        <v>127</v>
      </c>
      <c r="D142" t="s">
        <v>130</v>
      </c>
      <c r="E142" s="12">
        <v>4</v>
      </c>
      <c r="F142" s="12" t="s">
        <v>295</v>
      </c>
      <c r="G142" s="8">
        <v>0</v>
      </c>
      <c r="H142" s="8" t="s">
        <v>211</v>
      </c>
      <c r="I142" s="8" t="s">
        <v>149</v>
      </c>
      <c r="K142" s="18" t="s">
        <v>323</v>
      </c>
    </row>
    <row r="143" spans="1:11" x14ac:dyDescent="0.25">
      <c r="A143" t="s">
        <v>311</v>
      </c>
      <c r="B143" s="52">
        <v>2</v>
      </c>
      <c r="C143" t="s">
        <v>118</v>
      </c>
      <c r="D143" t="s">
        <v>131</v>
      </c>
      <c r="E143" s="12">
        <v>4</v>
      </c>
      <c r="F143" s="12" t="s">
        <v>295</v>
      </c>
      <c r="G143" s="8">
        <v>0</v>
      </c>
      <c r="H143" s="8" t="s">
        <v>210</v>
      </c>
      <c r="I143" s="8" t="s">
        <v>150</v>
      </c>
      <c r="K143" s="18" t="s">
        <v>312</v>
      </c>
    </row>
    <row r="144" spans="1:11" x14ac:dyDescent="0.25">
      <c r="A144" t="s">
        <v>314</v>
      </c>
      <c r="B144" s="52">
        <v>2</v>
      </c>
      <c r="C144" t="s">
        <v>118</v>
      </c>
      <c r="D144" t="s">
        <v>132</v>
      </c>
      <c r="E144" s="12">
        <v>6</v>
      </c>
      <c r="F144" s="12" t="s">
        <v>295</v>
      </c>
      <c r="G144" s="8">
        <v>0</v>
      </c>
      <c r="H144" s="8" t="s">
        <v>211</v>
      </c>
      <c r="I144" s="8" t="s">
        <v>155</v>
      </c>
      <c r="K144" s="18" t="s">
        <v>313</v>
      </c>
    </row>
    <row r="145" spans="1:11" x14ac:dyDescent="0.25">
      <c r="B145" s="52">
        <v>2</v>
      </c>
      <c r="D145" t="s">
        <v>133</v>
      </c>
      <c r="E145" s="12"/>
      <c r="F145" s="12" t="s">
        <v>295</v>
      </c>
      <c r="G145" s="8">
        <v>0</v>
      </c>
      <c r="H145" s="8"/>
      <c r="I145" s="8"/>
      <c r="J145" t="s">
        <v>126</v>
      </c>
      <c r="K145" s="18"/>
    </row>
    <row r="146" spans="1:11" x14ac:dyDescent="0.25">
      <c r="A146" t="s">
        <v>305</v>
      </c>
      <c r="B146" s="52">
        <v>2</v>
      </c>
      <c r="C146" t="s">
        <v>127</v>
      </c>
      <c r="D146" t="s">
        <v>135</v>
      </c>
      <c r="E146" s="12">
        <v>6</v>
      </c>
      <c r="F146" s="12" t="s">
        <v>295</v>
      </c>
      <c r="G146" s="8">
        <v>0</v>
      </c>
      <c r="H146" s="8" t="s">
        <v>208</v>
      </c>
      <c r="I146" s="8" t="s">
        <v>152</v>
      </c>
      <c r="K146" s="18" t="s">
        <v>304</v>
      </c>
    </row>
    <row r="147" spans="1:11" x14ac:dyDescent="0.25">
      <c r="A147" t="s">
        <v>316</v>
      </c>
      <c r="B147" s="52">
        <v>2</v>
      </c>
      <c r="C147" t="s">
        <v>127</v>
      </c>
      <c r="D147" t="s">
        <v>134</v>
      </c>
      <c r="E147" s="12">
        <v>7</v>
      </c>
      <c r="F147" s="12" t="s">
        <v>295</v>
      </c>
      <c r="G147" s="8">
        <v>0</v>
      </c>
      <c r="H147" s="8" t="s">
        <v>211</v>
      </c>
      <c r="I147" s="8" t="s">
        <v>155</v>
      </c>
      <c r="K147" s="18" t="s">
        <v>315</v>
      </c>
    </row>
    <row r="148" spans="1:11" x14ac:dyDescent="0.25">
      <c r="B148" s="52">
        <v>2</v>
      </c>
      <c r="D148" t="s">
        <v>136</v>
      </c>
      <c r="E148" s="12"/>
      <c r="F148" s="12" t="s">
        <v>295</v>
      </c>
      <c r="G148" s="8">
        <v>0</v>
      </c>
      <c r="H148" s="8"/>
      <c r="I148" s="8"/>
      <c r="J148" t="s">
        <v>126</v>
      </c>
      <c r="K148" s="18"/>
    </row>
    <row r="149" spans="1:11" x14ac:dyDescent="0.25">
      <c r="B149" s="52">
        <v>3</v>
      </c>
      <c r="D149" t="s">
        <v>112</v>
      </c>
      <c r="E149" s="12"/>
      <c r="F149" s="12" t="s">
        <v>295</v>
      </c>
      <c r="G149" s="8">
        <v>0</v>
      </c>
      <c r="H149" s="8"/>
      <c r="I149" s="8"/>
      <c r="J149" t="s">
        <v>126</v>
      </c>
      <c r="K149" s="18"/>
    </row>
    <row r="150" spans="1:11" x14ac:dyDescent="0.25">
      <c r="B150" s="52">
        <v>3</v>
      </c>
      <c r="D150" t="s">
        <v>129</v>
      </c>
      <c r="E150" s="12"/>
      <c r="F150" s="12" t="s">
        <v>295</v>
      </c>
      <c r="G150" s="8">
        <v>0</v>
      </c>
      <c r="H150" s="8"/>
      <c r="I150" s="8"/>
      <c r="J150" t="s">
        <v>126</v>
      </c>
      <c r="K150" s="18"/>
    </row>
    <row r="151" spans="1:11" x14ac:dyDescent="0.25">
      <c r="B151" s="52">
        <v>3</v>
      </c>
      <c r="D151" t="s">
        <v>130</v>
      </c>
      <c r="E151" s="12"/>
      <c r="F151" s="12" t="s">
        <v>295</v>
      </c>
      <c r="G151" s="8">
        <v>0</v>
      </c>
      <c r="H151" s="8"/>
      <c r="I151" s="8"/>
      <c r="J151" t="s">
        <v>126</v>
      </c>
      <c r="K151" s="18"/>
    </row>
    <row r="152" spans="1:11" x14ac:dyDescent="0.25">
      <c r="B152" s="52">
        <v>3</v>
      </c>
      <c r="D152" t="s">
        <v>131</v>
      </c>
      <c r="E152" s="12"/>
      <c r="F152" s="12" t="s">
        <v>295</v>
      </c>
      <c r="G152" s="8">
        <v>0</v>
      </c>
      <c r="H152" s="8"/>
      <c r="I152" s="8"/>
      <c r="J152" t="s">
        <v>126</v>
      </c>
      <c r="K152" s="18"/>
    </row>
    <row r="153" spans="1:11" x14ac:dyDescent="0.25">
      <c r="A153" t="s">
        <v>317</v>
      </c>
      <c r="B153" s="52">
        <v>3</v>
      </c>
      <c r="C153" t="s">
        <v>118</v>
      </c>
      <c r="D153" t="s">
        <v>132</v>
      </c>
      <c r="E153" s="12">
        <v>3</v>
      </c>
      <c r="F153" s="12" t="s">
        <v>295</v>
      </c>
      <c r="G153" s="8">
        <v>0</v>
      </c>
      <c r="H153" s="8" t="s">
        <v>210</v>
      </c>
      <c r="I153" s="8" t="s">
        <v>149</v>
      </c>
      <c r="K153" s="18" t="s">
        <v>306</v>
      </c>
    </row>
    <row r="154" spans="1:11" x14ac:dyDescent="0.25">
      <c r="A154" t="s">
        <v>324</v>
      </c>
      <c r="B154" s="52">
        <v>3</v>
      </c>
      <c r="C154" t="s">
        <v>118</v>
      </c>
      <c r="D154" t="s">
        <v>133</v>
      </c>
      <c r="E154" s="12">
        <v>5</v>
      </c>
      <c r="F154" s="12" t="s">
        <v>295</v>
      </c>
      <c r="G154" s="8">
        <v>1</v>
      </c>
      <c r="H154" s="8" t="s">
        <v>211</v>
      </c>
      <c r="I154" s="8" t="s">
        <v>155</v>
      </c>
      <c r="J154" t="s">
        <v>126</v>
      </c>
      <c r="K154" s="18" t="s">
        <v>325</v>
      </c>
    </row>
    <row r="155" spans="1:11" x14ac:dyDescent="0.25">
      <c r="B155" s="52">
        <v>3</v>
      </c>
      <c r="C155" t="s">
        <v>127</v>
      </c>
      <c r="D155" t="s">
        <v>135</v>
      </c>
      <c r="E155" s="12">
        <v>8</v>
      </c>
      <c r="F155" s="12" t="s">
        <v>295</v>
      </c>
      <c r="G155" s="8">
        <v>0</v>
      </c>
      <c r="H155" s="8" t="s">
        <v>213</v>
      </c>
      <c r="I155" s="8" t="s">
        <v>155</v>
      </c>
      <c r="K155" s="18" t="s">
        <v>327</v>
      </c>
    </row>
    <row r="156" spans="1:11" x14ac:dyDescent="0.25">
      <c r="A156" t="s">
        <v>298</v>
      </c>
      <c r="B156" s="52">
        <v>3</v>
      </c>
      <c r="C156" t="s">
        <v>111</v>
      </c>
      <c r="D156" t="s">
        <v>134</v>
      </c>
      <c r="E156" s="12">
        <v>8</v>
      </c>
      <c r="F156" s="12" t="s">
        <v>295</v>
      </c>
      <c r="G156" s="8">
        <v>0</v>
      </c>
      <c r="H156" s="8" t="s">
        <v>210</v>
      </c>
      <c r="I156" s="8" t="s">
        <v>146</v>
      </c>
      <c r="K156" s="18" t="s">
        <v>299</v>
      </c>
    </row>
    <row r="157" spans="1:11" x14ac:dyDescent="0.25">
      <c r="A157" t="s">
        <v>321</v>
      </c>
      <c r="B157" s="52">
        <v>3</v>
      </c>
      <c r="C157" t="s">
        <v>127</v>
      </c>
      <c r="D157" t="s">
        <v>136</v>
      </c>
      <c r="E157" s="12">
        <v>9</v>
      </c>
      <c r="F157" s="12" t="s">
        <v>295</v>
      </c>
      <c r="G157" s="8">
        <v>0</v>
      </c>
      <c r="H157" s="8" t="s">
        <v>210</v>
      </c>
      <c r="I157" s="8" t="s">
        <v>149</v>
      </c>
      <c r="K157" s="18" t="s">
        <v>326</v>
      </c>
    </row>
  </sheetData>
  <phoneticPr fontId="2" type="noConversion"/>
  <conditionalFormatting sqref="D2:D157">
    <cfRule type="cellIs" dxfId="8" priority="1" operator="equal">
      <formula>"Psy"</formula>
    </cfRule>
    <cfRule type="cellIs" dxfId="7" priority="2" operator="equal">
      <formula>"Nature"</formula>
    </cfRule>
    <cfRule type="cellIs" dxfId="6" priority="3" operator="equal">
      <formula>"Lumière"</formula>
    </cfRule>
    <cfRule type="cellIs" dxfId="5" priority="4" operator="equal">
      <formula>"Air"</formula>
    </cfRule>
    <cfRule type="cellIs" dxfId="4" priority="5" operator="equal">
      <formula>"Arcane"</formula>
    </cfRule>
    <cfRule type="cellIs" dxfId="3" priority="6" operator="equal">
      <formula>"Terre"</formula>
    </cfRule>
    <cfRule type="cellIs" dxfId="2" priority="7" operator="equal">
      <formula>"Foudre"</formula>
    </cfRule>
    <cfRule type="cellIs" dxfId="1" priority="8" operator="equal">
      <formula>"Glace"</formula>
    </cfRule>
    <cfRule type="cellIs" dxfId="0" priority="9" operator="equal">
      <formula>"Feu"</formula>
    </cfRule>
  </conditionalFormatting>
  <conditionalFormatting sqref="G2:G157">
    <cfRule type="iconSet" priority="29">
      <iconSet showValue="0">
        <cfvo type="percent" val="0"/>
        <cfvo type="num" val="1"/>
        <cfvo type="num" val="1"/>
      </iconSet>
    </cfRule>
  </conditionalFormatting>
  <dataValidations count="8">
    <dataValidation type="whole" allowBlank="1" showInputMessage="1" showErrorMessage="1" sqref="E128:E130 E2:E126" xr:uid="{926ABB28-7C95-4895-BA26-3FC2B1B6F99C}">
      <formula1>1</formula1>
      <formula2>12</formula2>
    </dataValidation>
    <dataValidation type="list" allowBlank="1" showInputMessage="1" showErrorMessage="1" sqref="G128:G132 G134:G157 G2:G126" xr:uid="{0105F68B-5297-4F59-AACA-7D9E1ADCC186}">
      <formula1>"0,1"</formula1>
    </dataValidation>
    <dataValidation type="list" allowBlank="1" showInputMessage="1" showErrorMessage="1" sqref="I2:I157" xr:uid="{54A592DA-6FD3-414F-B73B-222E181B653E}">
      <formula1>"Dégats,Buff,Debuff,Support,Tank,Mouvement,Utilitaire"</formula1>
    </dataValidation>
    <dataValidation type="list" allowBlank="1" showInputMessage="1" showErrorMessage="1" sqref="F2:F157" xr:uid="{BCC42DCF-378F-46EF-B0C7-D80C9353D24D}">
      <formula1>"action,canalisation,reaction,1 minute,10 minutes,1 heure"</formula1>
    </dataValidation>
    <dataValidation type="list" allowBlank="1" showInputMessage="1" showErrorMessage="1" sqref="B2:B157" xr:uid="{55BE0BBD-2D65-4A63-BA60-CD4CB1D0D558}">
      <formula1>"1,2,3"</formula1>
    </dataValidation>
    <dataValidation type="list" allowBlank="1" showInputMessage="1" showErrorMessage="1" sqref="D2:D157" xr:uid="{BBF80C9C-ADB1-4A2A-93E8-4B1D1A4D1406}">
      <formula1>"Feu,Glace,Foudre,Terre,Arcane,Air,Lumière,Nature,Psy"</formula1>
    </dataValidation>
    <dataValidation type="list" allowBlank="1" showInputMessage="1" showErrorMessage="1" sqref="H2:H157" xr:uid="{C2790D56-B540-4EB5-88F3-A9AF5DD41752}">
      <formula1>"Toucher,Personnel,3 cases,6 cases,9 cases,12 cases,18 cases,Spécial"</formula1>
    </dataValidation>
    <dataValidation type="list" allowBlank="1" showInputMessage="1" showErrorMessage="1" sqref="C2:C157" xr:uid="{5550D146-DEBC-4E75-B1B8-D4ECC81EAEEE}">
      <formula1>"Savoir,Precision,Instinct"</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F726-0DDD-41DD-9FD1-BB03B62862CE}">
  <dimension ref="A1:C10"/>
  <sheetViews>
    <sheetView workbookViewId="0">
      <selection activeCell="A2" sqref="A2"/>
    </sheetView>
  </sheetViews>
  <sheetFormatPr baseColWidth="10" defaultRowHeight="15" x14ac:dyDescent="0.25"/>
  <cols>
    <col min="1" max="1" width="18" bestFit="1" customWidth="1"/>
  </cols>
  <sheetData>
    <row r="1" spans="1:3" x14ac:dyDescent="0.25">
      <c r="A1" t="s">
        <v>3</v>
      </c>
      <c r="B1" t="s">
        <v>1</v>
      </c>
      <c r="C1" t="s">
        <v>2</v>
      </c>
    </row>
    <row r="2" spans="1:3" x14ac:dyDescent="0.25">
      <c r="A2" t="s">
        <v>10</v>
      </c>
      <c r="B2" t="s">
        <v>15</v>
      </c>
      <c r="C2" t="s">
        <v>12</v>
      </c>
    </row>
    <row r="3" spans="1:3" x14ac:dyDescent="0.25">
      <c r="A3" t="s">
        <v>9</v>
      </c>
      <c r="B3" t="s">
        <v>5</v>
      </c>
      <c r="C3" t="s">
        <v>12</v>
      </c>
    </row>
    <row r="4" spans="1:3" x14ac:dyDescent="0.25">
      <c r="A4" t="s">
        <v>11</v>
      </c>
      <c r="B4" t="s">
        <v>14</v>
      </c>
      <c r="C4" t="s">
        <v>12</v>
      </c>
    </row>
    <row r="5" spans="1:3" x14ac:dyDescent="0.25">
      <c r="A5" t="s">
        <v>7</v>
      </c>
      <c r="B5" t="s">
        <v>15</v>
      </c>
      <c r="C5" t="s">
        <v>5</v>
      </c>
    </row>
    <row r="6" spans="1:3" x14ac:dyDescent="0.25">
      <c r="A6" t="s">
        <v>5</v>
      </c>
      <c r="B6" t="s">
        <v>5</v>
      </c>
      <c r="C6" t="s">
        <v>5</v>
      </c>
    </row>
    <row r="7" spans="1:3" x14ac:dyDescent="0.25">
      <c r="A7" t="s">
        <v>0</v>
      </c>
      <c r="B7" t="s">
        <v>14</v>
      </c>
      <c r="C7" t="s">
        <v>5</v>
      </c>
    </row>
    <row r="8" spans="1:3" x14ac:dyDescent="0.25">
      <c r="A8" t="s">
        <v>6</v>
      </c>
      <c r="B8" t="s">
        <v>15</v>
      </c>
      <c r="C8" t="s">
        <v>13</v>
      </c>
    </row>
    <row r="9" spans="1:3" x14ac:dyDescent="0.25">
      <c r="A9" t="s">
        <v>4</v>
      </c>
      <c r="B9" t="s">
        <v>5</v>
      </c>
      <c r="C9" t="s">
        <v>13</v>
      </c>
    </row>
    <row r="10" spans="1:3" x14ac:dyDescent="0.25">
      <c r="A10" t="s">
        <v>8</v>
      </c>
      <c r="B10" t="s">
        <v>14</v>
      </c>
      <c r="C10" t="s">
        <v>13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C 7 x H W L f t J s C m A A A A 9 g A A A B I A H A B D b 2 5 m a W c v U G F j a 2 F n Z S 5 4 b W w g o h g A K K A U A A A A A A A A A A A A A A A A A A A A A A A A A A A A h Y + x C s I w G I R f p W R v 0 k a R U v 6 m g + B k Q R T E N a S x D b a p J K n p u z n 4 S L 6 C F a 2 6 O d 7 d d 3 B 3 v 9 4 g H 9 o m u E h j V a c z F O M I B V K L r l S 6 y l D v j m G C c g Y b L k 6 8 k s E I a 5 s O V m W o d u 6 c E u K 9 x 3 6 G O 1 M R G k U x O R T r n a h l y 0 O l r e N a S P R p l f 9 b i M H + N Y Z R H N M 5 X t A E R 0 A m E w q l v w A d 9 z 7 T H x O W f e N 6 I 9 n R h K s t k E k C e X 9 g D 1 B L A w Q U A A I A C A A L v E 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7 x H W C i K R 7 g O A A A A E Q A A A B M A H A B G b 3 J t d W x h c y 9 T Z W N 0 a W 9 u M S 5 t I K I Y A C i g F A A A A A A A A A A A A A A A A A A A A A A A A A A A A C t O T S 7 J z M 9 T C I b Q h t Y A U E s B A i 0 A F A A C A A g A C 7 x H W L f t J s C m A A A A 9 g A A A B I A A A A A A A A A A A A A A A A A A A A A A E N v b m Z p Z y 9 Q Y W N r Y W d l L n h t b F B L A Q I t A B Q A A g A I A A u 8 R 1 g P y u m r p A A A A O k A A A A T A A A A A A A A A A A A A A A A A P I A A A B b Q 2 9 u d G V u d F 9 U e X B l c 1 0 u e G 1 s U E s B A i 0 A F A A C A A g A C 7 x H 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2 j U 0 5 N G 7 B F q m W H u b r n a b I A A A A A A g A A A A A A E G Y A A A A B A A A g A A A A j P t 2 h Q 7 w J Q N 2 K 9 w q / B b M x W d A 8 f t R G R W z K t h D l c c C n 5 4 A A A A A D o A A A A A C A A A g A A A A p 6 S Q S I N x S r r E j d 8 p C 3 I v g u W 7 b b + J H k + q I R a 6 p 8 l g t e F Q A A A A X K o 1 8 / a v X j H R 2 F W A R 9 s Y 2 a S A R r L n m 5 G v I D x 0 1 7 + 6 7 h P Y v E d N g S J l g e I 2 v Y Y / m J e s K Y D Y 9 b A R v D j G A Z 5 3 J e 6 W e B 8 u G s M l o 8 k r 7 J m i X e X i y l d A A A A A c i A G m T T Z B S t B f / J z m c k U a X i P s Q l b n 6 x D u + y U 2 C C V x t C I w N u 1 W W B 3 w Z c M i W I P 9 j S 6 m s y / Z Q 8 q r / g l N X L + s v J Z t A = = < / D a t a M a s h u p > 
</file>

<file path=customXml/itemProps1.xml><?xml version="1.0" encoding="utf-8"?>
<ds:datastoreItem xmlns:ds="http://schemas.openxmlformats.org/officeDocument/2006/customXml" ds:itemID="{43449353-0093-46B3-9590-22C9F2821D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Récap</vt:lpstr>
      <vt:lpstr>Aspects</vt:lpstr>
      <vt:lpstr>Sorts</vt:lpstr>
      <vt:lpstr>Feuil2</vt:lpstr>
      <vt:lpstr>WCHARAC</vt:lpstr>
      <vt:lpstr>WMENTAL</vt:lpstr>
      <vt:lpstr>WPHYSIC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Pons</dc:creator>
  <cp:lastModifiedBy>Clément PONS</cp:lastModifiedBy>
  <dcterms:created xsi:type="dcterms:W3CDTF">2024-02-07T20:50:05Z</dcterms:created>
  <dcterms:modified xsi:type="dcterms:W3CDTF">2026-03-24T11:13:17Z</dcterms:modified>
</cp:coreProperties>
</file>