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pivotTables/pivotTable4.xml" ContentType="application/vnd.openxmlformats-officedocument.spreadsheetml.pivotTable+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defaultThemeVersion="166925"/>
  <mc:AlternateContent xmlns:mc="http://schemas.openxmlformats.org/markup-compatibility/2006">
    <mc:Choice Requires="x15">
      <x15ac:absPath xmlns:x15ac="http://schemas.microsoft.com/office/spreadsheetml/2010/11/ac" url="D:\Bureau\Système Aspect\"/>
    </mc:Choice>
  </mc:AlternateContent>
  <xr:revisionPtr revIDLastSave="0" documentId="13_ncr:1_{96A16B09-B4CB-44BB-BAAE-7BA763BF06AE}" xr6:coauthVersionLast="47" xr6:coauthVersionMax="47" xr10:uidLastSave="{00000000-0000-0000-0000-000000000000}"/>
  <bookViews>
    <workbookView xWindow="-120" yWindow="-120" windowWidth="29040" windowHeight="15840" activeTab="2" xr2:uid="{200AB9DF-C0C3-4752-B0BD-0EF65030082E}"/>
  </bookViews>
  <sheets>
    <sheet name="Récap" sheetId="3" r:id="rId1"/>
    <sheet name="Aspects" sheetId="1" r:id="rId2"/>
    <sheet name="Sorts" sheetId="4" r:id="rId3"/>
    <sheet name="Feuil2" sheetId="2" state="hidden" r:id="rId4"/>
  </sheets>
  <definedNames>
    <definedName name="WCHARAC">Récap!$M$8</definedName>
    <definedName name="WMENTAL">Récap!$M$6</definedName>
    <definedName name="WPHYSIC">Récap!$M$4</definedName>
  </definedNames>
  <calcPr calcId="191029" refMode="R1C1"/>
  <pivotCaches>
    <pivotCache cacheId="0" r:id="rId5"/>
    <pivotCache cacheId="1" r:id="rId6"/>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R3" i="3" l="1"/>
  <c r="R4" i="3"/>
  <c r="R5" i="3"/>
  <c r="R7" i="3"/>
  <c r="R8" i="3"/>
  <c r="R9" i="3"/>
  <c r="R11" i="3"/>
  <c r="R12" i="3"/>
  <c r="R13" i="3"/>
  <c r="R14" i="3"/>
  <c r="R15" i="3"/>
  <c r="R16" i="3"/>
  <c r="R17" i="3"/>
  <c r="R18" i="3"/>
  <c r="R19" i="3"/>
  <c r="N4" i="1"/>
  <c r="N5" i="1"/>
  <c r="N6" i="1"/>
  <c r="N7" i="1"/>
  <c r="N8" i="1"/>
  <c r="N9" i="1"/>
  <c r="N10" i="1"/>
  <c r="N11" i="1"/>
  <c r="N12" i="1"/>
  <c r="N13" i="1"/>
  <c r="N14" i="1"/>
  <c r="N15" i="1"/>
  <c r="N34" i="1"/>
  <c r="N16" i="1"/>
  <c r="N17" i="1"/>
  <c r="N18" i="1"/>
  <c r="N19" i="1"/>
  <c r="N20" i="1"/>
  <c r="N21" i="1"/>
  <c r="N22" i="1"/>
  <c r="N23" i="1"/>
  <c r="N24" i="1"/>
  <c r="N25" i="1"/>
  <c r="N26" i="1"/>
  <c r="N27" i="1"/>
  <c r="N28" i="1"/>
  <c r="N29" i="1"/>
  <c r="N30" i="1"/>
  <c r="N31" i="1"/>
  <c r="N32" i="1"/>
  <c r="N33" i="1"/>
  <c r="N35" i="1"/>
  <c r="N36" i="1"/>
  <c r="N37" i="1"/>
  <c r="N3" i="1"/>
  <c r="N2" i="1"/>
  <c r="H29" i="1"/>
  <c r="H28" i="1"/>
  <c r="H17" i="1"/>
  <c r="H13" i="1"/>
  <c r="H36" i="1"/>
  <c r="L14" i="1"/>
  <c r="U14" i="1" s="1"/>
  <c r="H35" i="1"/>
  <c r="L20" i="1"/>
  <c r="U20" i="1" s="1"/>
  <c r="H18" i="1"/>
  <c r="H8" i="1"/>
  <c r="H22" i="1"/>
  <c r="H4" i="1"/>
  <c r="E17" i="1"/>
  <c r="E9" i="1"/>
  <c r="E32" i="1"/>
  <c r="E36" i="1"/>
  <c r="E23" i="1"/>
  <c r="E14" i="1"/>
  <c r="L35" i="1"/>
  <c r="U35" i="1" s="1"/>
  <c r="E20" i="1"/>
  <c r="E18" i="1"/>
  <c r="E22" i="1"/>
  <c r="E4" i="1"/>
  <c r="H14" i="1"/>
  <c r="H12" i="1"/>
  <c r="H33" i="1"/>
  <c r="H27" i="1"/>
  <c r="L31" i="1"/>
  <c r="U31" i="1" s="1"/>
  <c r="H32" i="1"/>
  <c r="L15" i="1"/>
  <c r="U15" i="1" s="1"/>
  <c r="L25" i="1"/>
  <c r="U25" i="1" s="1"/>
  <c r="H5" i="1"/>
  <c r="L11" i="1"/>
  <c r="U11" i="1" s="1"/>
  <c r="L23" i="1"/>
  <c r="U23" i="1" s="1"/>
  <c r="E34" i="1"/>
  <c r="E33" i="1"/>
  <c r="L10" i="1"/>
  <c r="U10" i="1" s="1"/>
  <c r="E21" i="1"/>
  <c r="E28" i="1"/>
  <c r="L37" i="1"/>
  <c r="U37" i="1" s="1"/>
  <c r="B9" i="1"/>
  <c r="B36" i="1"/>
  <c r="L19" i="1"/>
  <c r="U19" i="1" s="1"/>
  <c r="B8" i="1"/>
  <c r="B22" i="1"/>
  <c r="L24" i="1"/>
  <c r="U24" i="1" s="1"/>
  <c r="S2" i="1"/>
  <c r="S28" i="1"/>
  <c r="S6" i="1"/>
  <c r="S29" i="1"/>
  <c r="S16" i="1"/>
  <c r="S11" i="1"/>
  <c r="S36" i="1"/>
  <c r="S9" i="1"/>
  <c r="S13" i="1"/>
  <c r="S27" i="1"/>
  <c r="S30" i="1"/>
  <c r="S32" i="1"/>
  <c r="S5" i="1"/>
  <c r="S26" i="1"/>
  <c r="S17" i="1"/>
  <c r="S25" i="1"/>
  <c r="S21" i="1"/>
  <c r="S19" i="1"/>
  <c r="S31" i="1"/>
  <c r="S15" i="1"/>
  <c r="S10" i="1"/>
  <c r="S8" i="1"/>
  <c r="S22" i="1"/>
  <c r="S35" i="1"/>
  <c r="S20" i="1"/>
  <c r="S14" i="1"/>
  <c r="S23" i="1"/>
  <c r="S24" i="1"/>
  <c r="S37" i="1"/>
  <c r="S33" i="1"/>
  <c r="S18" i="1"/>
  <c r="S12" i="1"/>
  <c r="S4" i="1"/>
  <c r="S7" i="1"/>
  <c r="S3" i="1"/>
  <c r="L2" i="1"/>
  <c r="U2" i="1" s="1"/>
  <c r="L30" i="1"/>
  <c r="U30" i="1" s="1"/>
  <c r="L26" i="1"/>
  <c r="U26" i="1" s="1"/>
  <c r="L6" i="1"/>
  <c r="U6" i="1" s="1"/>
  <c r="L17" i="1"/>
  <c r="U17" i="1" s="1"/>
  <c r="L16" i="1"/>
  <c r="U16" i="1" s="1"/>
  <c r="L21" i="1"/>
  <c r="U21" i="1" s="1"/>
  <c r="L12" i="1"/>
  <c r="U12" i="1" s="1"/>
  <c r="L7" i="1"/>
  <c r="U7" i="1" s="1"/>
  <c r="L3" i="1"/>
  <c r="U3" i="1" s="1"/>
  <c r="B28" i="1"/>
  <c r="K28" i="1"/>
  <c r="Q28" i="1"/>
  <c r="R28" i="1"/>
  <c r="B29" i="1"/>
  <c r="K29" i="1"/>
  <c r="Q29" i="1"/>
  <c r="R29" i="1"/>
  <c r="E19" i="1"/>
  <c r="H19" i="1"/>
  <c r="K19" i="1"/>
  <c r="Q19" i="1"/>
  <c r="R19" i="1"/>
  <c r="B26" i="1"/>
  <c r="E26" i="1"/>
  <c r="H26" i="1"/>
  <c r="K26" i="1"/>
  <c r="Q26" i="1"/>
  <c r="R26" i="1"/>
  <c r="B27" i="1"/>
  <c r="K27" i="1"/>
  <c r="Q27" i="1"/>
  <c r="R27" i="1"/>
  <c r="B30" i="1"/>
  <c r="E30" i="1"/>
  <c r="H30" i="1"/>
  <c r="K30" i="1"/>
  <c r="Q30" i="1"/>
  <c r="R30" i="1"/>
  <c r="B31" i="1"/>
  <c r="E31" i="1"/>
  <c r="H31" i="1"/>
  <c r="K31" i="1"/>
  <c r="Q31" i="1"/>
  <c r="R31" i="1"/>
  <c r="B3" i="1"/>
  <c r="E3" i="1"/>
  <c r="H3" i="1"/>
  <c r="K3" i="1"/>
  <c r="Q3" i="1"/>
  <c r="R3" i="1"/>
  <c r="K4" i="1"/>
  <c r="Q4" i="1"/>
  <c r="R4" i="1"/>
  <c r="B7" i="1"/>
  <c r="E7" i="1"/>
  <c r="H7" i="1"/>
  <c r="K7" i="1"/>
  <c r="Q7" i="1"/>
  <c r="R7" i="1"/>
  <c r="E24" i="1"/>
  <c r="H24" i="1"/>
  <c r="K24" i="1"/>
  <c r="Q24" i="1"/>
  <c r="R24" i="1"/>
  <c r="B37" i="1"/>
  <c r="E37" i="1"/>
  <c r="H37" i="1"/>
  <c r="K37" i="1"/>
  <c r="Q37" i="1"/>
  <c r="R37" i="1"/>
  <c r="B6" i="1"/>
  <c r="E6" i="1"/>
  <c r="H6" i="1"/>
  <c r="K6" i="1"/>
  <c r="Q6" i="1"/>
  <c r="R6" i="1"/>
  <c r="B16" i="1"/>
  <c r="E16" i="1"/>
  <c r="H16" i="1"/>
  <c r="K16" i="1"/>
  <c r="Q16" i="1"/>
  <c r="R16" i="1"/>
  <c r="B13" i="1"/>
  <c r="E13" i="1"/>
  <c r="K13" i="1"/>
  <c r="Q13" i="1"/>
  <c r="R13" i="1"/>
  <c r="K32" i="1"/>
  <c r="Q32" i="1"/>
  <c r="R32" i="1"/>
  <c r="K36" i="1"/>
  <c r="Q36" i="1"/>
  <c r="R36" i="1"/>
  <c r="E8" i="1"/>
  <c r="K8" i="1"/>
  <c r="Q8" i="1"/>
  <c r="R8" i="1"/>
  <c r="K18" i="1"/>
  <c r="Q18" i="1"/>
  <c r="R18" i="1"/>
  <c r="B20" i="1"/>
  <c r="H20" i="1"/>
  <c r="K20" i="1"/>
  <c r="Q20" i="1"/>
  <c r="R20" i="1"/>
  <c r="K22" i="1"/>
  <c r="Q22" i="1"/>
  <c r="R22" i="1"/>
  <c r="B14" i="1"/>
  <c r="K14" i="1"/>
  <c r="Q14" i="1"/>
  <c r="R14" i="1"/>
  <c r="B33" i="1"/>
  <c r="K33" i="1"/>
  <c r="Q33" i="1"/>
  <c r="R33" i="1"/>
  <c r="B34" i="1"/>
  <c r="H34" i="1"/>
  <c r="K34" i="1"/>
  <c r="Q34" i="1"/>
  <c r="R34" i="1"/>
  <c r="B12" i="1"/>
  <c r="E12" i="1"/>
  <c r="K12" i="1"/>
  <c r="Q12" i="1"/>
  <c r="R12" i="1"/>
  <c r="B23" i="1"/>
  <c r="H23" i="1"/>
  <c r="K23" i="1"/>
  <c r="Q23" i="1"/>
  <c r="R23" i="1"/>
  <c r="B35" i="1"/>
  <c r="E35" i="1"/>
  <c r="K35" i="1"/>
  <c r="Q35" i="1"/>
  <c r="R35" i="1"/>
  <c r="B2" i="1"/>
  <c r="E2" i="1"/>
  <c r="H2" i="1"/>
  <c r="K2" i="1"/>
  <c r="Q2" i="1"/>
  <c r="R2" i="1"/>
  <c r="B11" i="1"/>
  <c r="E11" i="1"/>
  <c r="H11" i="1"/>
  <c r="K11" i="1"/>
  <c r="Q11" i="1"/>
  <c r="R11" i="1"/>
  <c r="B5" i="1"/>
  <c r="K5" i="1"/>
  <c r="Q5" i="1"/>
  <c r="R5" i="1"/>
  <c r="B10" i="1"/>
  <c r="E10" i="1"/>
  <c r="H10" i="1"/>
  <c r="K10" i="1"/>
  <c r="Q10" i="1"/>
  <c r="R10" i="1"/>
  <c r="H9" i="1"/>
  <c r="K9" i="1"/>
  <c r="Q9" i="1"/>
  <c r="R9" i="1"/>
  <c r="B15" i="1"/>
  <c r="E15" i="1"/>
  <c r="H15" i="1"/>
  <c r="K15" i="1"/>
  <c r="Q15" i="1"/>
  <c r="R15" i="1"/>
  <c r="B17" i="1"/>
  <c r="K17" i="1"/>
  <c r="Q17" i="1"/>
  <c r="R17" i="1"/>
  <c r="B21" i="1"/>
  <c r="H21" i="1"/>
  <c r="K21" i="1"/>
  <c r="Q21" i="1"/>
  <c r="R21" i="1"/>
  <c r="B25" i="1"/>
  <c r="E25" i="1"/>
  <c r="H25" i="1"/>
  <c r="K25" i="1"/>
  <c r="Q25" i="1"/>
  <c r="R25" i="1"/>
  <c r="D13" i="3"/>
  <c r="D14" i="3"/>
  <c r="D15" i="3"/>
  <c r="D16" i="3"/>
  <c r="D17" i="3"/>
  <c r="D18" i="3"/>
  <c r="D19" i="3"/>
  <c r="S9" i="3" l="1"/>
  <c r="S3" i="3"/>
  <c r="S8" i="3"/>
  <c r="S7" i="3"/>
  <c r="S5" i="3"/>
  <c r="S4" i="3"/>
  <c r="S19" i="3"/>
  <c r="S11" i="3"/>
  <c r="S12" i="3"/>
  <c r="S13" i="3"/>
  <c r="S14" i="3"/>
  <c r="S15" i="3"/>
  <c r="S16" i="3"/>
  <c r="S17" i="3"/>
  <c r="S18" i="3"/>
  <c r="T28" i="1"/>
  <c r="T13" i="1"/>
  <c r="T31" i="1"/>
  <c r="L18" i="1"/>
  <c r="U18" i="1" s="1"/>
  <c r="L34" i="1"/>
  <c r="U34" i="1" s="1"/>
  <c r="L4" i="1"/>
  <c r="U4" i="1" s="1"/>
  <c r="L29" i="1"/>
  <c r="U29" i="1" s="1"/>
  <c r="L27" i="1"/>
  <c r="U27" i="1" s="1"/>
  <c r="L5" i="1"/>
  <c r="U5" i="1" s="1"/>
  <c r="E27" i="1"/>
  <c r="E29" i="1"/>
  <c r="E5" i="1"/>
  <c r="L33" i="1"/>
  <c r="U33" i="1" s="1"/>
  <c r="L28" i="1"/>
  <c r="U28" i="1" s="1"/>
  <c r="L13" i="1"/>
  <c r="U13" i="1" s="1"/>
  <c r="L32" i="1"/>
  <c r="U32" i="1" s="1"/>
  <c r="L9" i="1"/>
  <c r="U9" i="1" s="1"/>
  <c r="B18" i="1"/>
  <c r="B19" i="1"/>
  <c r="L36" i="1"/>
  <c r="U36" i="1" s="1"/>
  <c r="B24" i="1"/>
  <c r="B4" i="1"/>
  <c r="B32" i="1"/>
  <c r="L22" i="1"/>
  <c r="U22" i="1" s="1"/>
  <c r="L8" i="1"/>
  <c r="U8" i="1" s="1"/>
  <c r="M26" i="1"/>
  <c r="V26" i="1" s="1"/>
  <c r="M21" i="1"/>
  <c r="V21" i="1" s="1"/>
  <c r="M23" i="1"/>
  <c r="V23" i="1" s="1"/>
  <c r="M17" i="1"/>
  <c r="V17" i="1" s="1"/>
  <c r="M25" i="1"/>
  <c r="V25" i="1" s="1"/>
  <c r="M6" i="1"/>
  <c r="V6" i="1" s="1"/>
  <c r="M2" i="1"/>
  <c r="V2" i="1" s="1"/>
  <c r="T20" i="1"/>
  <c r="T37" i="1"/>
  <c r="T5" i="1"/>
  <c r="T14" i="1"/>
  <c r="T16" i="1"/>
  <c r="T30" i="1"/>
  <c r="T3" i="1"/>
  <c r="T7" i="1"/>
  <c r="T29" i="1"/>
  <c r="T10" i="1"/>
  <c r="T15" i="1"/>
  <c r="M12" i="1"/>
  <c r="V12" i="1" s="1"/>
  <c r="T4" i="1"/>
  <c r="T35" i="1"/>
  <c r="T24" i="1"/>
  <c r="T25" i="1"/>
  <c r="T17" i="1"/>
  <c r="T26" i="1"/>
  <c r="T12" i="1"/>
  <c r="T18" i="1"/>
  <c r="T36" i="1"/>
  <c r="T33" i="1"/>
  <c r="T6" i="1"/>
  <c r="M19" i="1"/>
  <c r="V19" i="1" s="1"/>
  <c r="T23" i="1"/>
  <c r="T2" i="1"/>
  <c r="T9" i="1"/>
  <c r="T34" i="1"/>
  <c r="T32" i="1"/>
  <c r="T11" i="1"/>
  <c r="T22" i="1"/>
  <c r="T8" i="1"/>
  <c r="T19" i="1"/>
  <c r="T21" i="1"/>
  <c r="T27" i="1"/>
  <c r="M37" i="1"/>
  <c r="V37" i="1" s="1"/>
  <c r="M24" i="1"/>
  <c r="V24" i="1" s="1"/>
  <c r="M14" i="1"/>
  <c r="V14" i="1" s="1"/>
  <c r="M20" i="1"/>
  <c r="V20" i="1" s="1"/>
  <c r="M10" i="1"/>
  <c r="V10" i="1" s="1"/>
  <c r="M35" i="1"/>
  <c r="V35" i="1" s="1"/>
  <c r="M3" i="1"/>
  <c r="V3" i="1" s="1"/>
  <c r="M7" i="1"/>
  <c r="V7" i="1" s="1"/>
  <c r="M11" i="1"/>
  <c r="V11" i="1" s="1"/>
  <c r="M15" i="1"/>
  <c r="V15" i="1" s="1"/>
  <c r="M31" i="1"/>
  <c r="V31" i="1" s="1"/>
  <c r="M16" i="1"/>
  <c r="V16" i="1" s="1"/>
  <c r="M30" i="1"/>
  <c r="V30" i="1" s="1"/>
  <c r="E19" i="3"/>
  <c r="E16" i="3"/>
  <c r="E18" i="3"/>
  <c r="D3" i="3"/>
  <c r="E17" i="3"/>
  <c r="E15" i="3"/>
  <c r="E14" i="3"/>
  <c r="E13" i="3"/>
  <c r="D9" i="3"/>
  <c r="D8" i="3"/>
  <c r="D5" i="3"/>
  <c r="D10" i="3"/>
  <c r="D4" i="3"/>
  <c r="M8" i="1" l="1"/>
  <c r="V8" i="1" s="1"/>
  <c r="M5" i="1"/>
  <c r="V5" i="1" s="1"/>
  <c r="M34" i="1"/>
  <c r="V34" i="1" s="1"/>
  <c r="M4" i="1"/>
  <c r="V4" i="1" s="1"/>
  <c r="M18" i="1"/>
  <c r="V18" i="1" s="1"/>
  <c r="M29" i="1"/>
  <c r="V29" i="1" s="1"/>
  <c r="M27" i="1"/>
  <c r="V27" i="1" s="1"/>
  <c r="M28" i="1"/>
  <c r="V28" i="1" s="1"/>
  <c r="M33" i="1"/>
  <c r="V33" i="1" s="1"/>
  <c r="M32" i="1"/>
  <c r="V32" i="1" s="1"/>
  <c r="M9" i="1"/>
  <c r="V9" i="1" s="1"/>
  <c r="M13" i="1"/>
  <c r="V13" i="1" s="1"/>
  <c r="M22" i="1"/>
  <c r="V22" i="1" s="1"/>
  <c r="M36" i="1"/>
  <c r="V36" i="1" s="1"/>
  <c r="E10" i="3"/>
  <c r="E5" i="3"/>
  <c r="E4" i="3"/>
  <c r="E8" i="3"/>
  <c r="E9" i="3"/>
  <c r="E3" i="3"/>
</calcChain>
</file>

<file path=xl/sharedStrings.xml><?xml version="1.0" encoding="utf-8"?>
<sst xmlns="http://schemas.openxmlformats.org/spreadsheetml/2006/main" count="868" uniqueCount="240">
  <si>
    <t>Neutre mauvais</t>
  </si>
  <si>
    <t>Bonté</t>
  </si>
  <si>
    <t>Loyauté</t>
  </si>
  <si>
    <t>Alignement</t>
  </si>
  <si>
    <t>Chaotique neutre</t>
  </si>
  <si>
    <t>Neutre</t>
  </si>
  <si>
    <t>Chaotique bon</t>
  </si>
  <si>
    <t>Neutre bon</t>
  </si>
  <si>
    <t>Chaotique mauvais</t>
  </si>
  <si>
    <t>Loyal neutre</t>
  </si>
  <si>
    <t>Loyal bon</t>
  </si>
  <si>
    <t>Loyal mauvais</t>
  </si>
  <si>
    <t>Loyal</t>
  </si>
  <si>
    <t>Chaotique</t>
  </si>
  <si>
    <t>Mauvais</t>
  </si>
  <si>
    <t>Bon</t>
  </si>
  <si>
    <t>Nyelis</t>
  </si>
  <si>
    <t>Hashura</t>
  </si>
  <si>
    <t>Akkatom</t>
  </si>
  <si>
    <t>Othompa</t>
  </si>
  <si>
    <t>Thymeïr</t>
  </si>
  <si>
    <t>Kuelid</t>
  </si>
  <si>
    <t>Goldreg</t>
  </si>
  <si>
    <t>Kronian</t>
  </si>
  <si>
    <t>Anseilid</t>
  </si>
  <si>
    <t>Brukaur</t>
  </si>
  <si>
    <t>Digride</t>
  </si>
  <si>
    <t>Phy max</t>
  </si>
  <si>
    <t>Men min</t>
  </si>
  <si>
    <t>Men max</t>
  </si>
  <si>
    <t>Cha min</t>
  </si>
  <si>
    <t>Cha max</t>
  </si>
  <si>
    <t>Aspect</t>
  </si>
  <si>
    <t>Physique</t>
  </si>
  <si>
    <t>Mental</t>
  </si>
  <si>
    <t>Charactère</t>
  </si>
  <si>
    <t>Magie</t>
  </si>
  <si>
    <t>Force</t>
  </si>
  <si>
    <t>Dextérité</t>
  </si>
  <si>
    <t>Résilience</t>
  </si>
  <si>
    <t>Intelligence</t>
  </si>
  <si>
    <t>Curiosité</t>
  </si>
  <si>
    <t>Éloquence</t>
  </si>
  <si>
    <t>Psyché</t>
  </si>
  <si>
    <t>Shelfine</t>
  </si>
  <si>
    <t>Zeniom</t>
  </si>
  <si>
    <t>Miador</t>
  </si>
  <si>
    <t>Asnol</t>
  </si>
  <si>
    <t>Shlahog</t>
  </si>
  <si>
    <t>Onimee</t>
  </si>
  <si>
    <t>Promolide</t>
  </si>
  <si>
    <t>Calderan</t>
  </si>
  <si>
    <t>Nigiak</t>
  </si>
  <si>
    <t>Franeline</t>
  </si>
  <si>
    <t>Lonidae</t>
  </si>
  <si>
    <t>Vadeaxil</t>
  </si>
  <si>
    <t>Urdi'rik</t>
  </si>
  <si>
    <t>Beth'oit</t>
  </si>
  <si>
    <t>Arsinam</t>
  </si>
  <si>
    <t>Mul'dekar</t>
  </si>
  <si>
    <t>Yinkovn</t>
  </si>
  <si>
    <t>Zaliax</t>
  </si>
  <si>
    <t>Incabat</t>
  </si>
  <si>
    <t>Qua'faltar</t>
  </si>
  <si>
    <t>Phy min</t>
  </si>
  <si>
    <t>Min stats</t>
  </si>
  <si>
    <t>Drinbuur</t>
  </si>
  <si>
    <t>Max stats</t>
  </si>
  <si>
    <t>Range stats</t>
  </si>
  <si>
    <t>Nombre</t>
  </si>
  <si>
    <t>Étiquettes</t>
  </si>
  <si>
    <t>Range</t>
  </si>
  <si>
    <t>Min</t>
  </si>
  <si>
    <t>Max</t>
  </si>
  <si>
    <t>Commentaire</t>
  </si>
  <si>
    <t>Stat améliorée</t>
  </si>
  <si>
    <t>Exception, pas de magie malgré le mental min à 8</t>
  </si>
  <si>
    <t>Difficulté</t>
  </si>
  <si>
    <t>Dao Tua</t>
  </si>
  <si>
    <t>Rudnar</t>
  </si>
  <si>
    <t>Kaha Bii</t>
  </si>
  <si>
    <t>Poids physique</t>
  </si>
  <si>
    <t>Poids mental</t>
  </si>
  <si>
    <t>Poids de caractère</t>
  </si>
  <si>
    <t>Vernil</t>
  </si>
  <si>
    <t>Sort</t>
  </si>
  <si>
    <t>Type</t>
  </si>
  <si>
    <t>Element</t>
  </si>
  <si>
    <t>Rang</t>
  </si>
  <si>
    <t>&gt;Faites un jet d'attaque avec la [[1. Entrainement#La dextérité|dextérité]]. Tire un faisceau de flamme, infligeant 2d8 dégâts de feu en touchant.</t>
  </si>
  <si>
    <t>&gt;Chauffe à blanc une arme ou un projectile. Jusqu'au début de votre prochain tour, les coups portés avec l'objet infligent 1d6 dégâts supplémentaire. Les dégâts de l'arme deviennent des dégâts de feu.</t>
  </si>
  <si>
    <t>&gt;Lance un projectile de feu éclatant sur 3 cases de rayon. Chaque personne dans le rayon doit réussir un [[3. Résistance aux chocs#Le jet de résistance|jet de résistance]](d10/6 + mod. d'[[1. Entrainement#L'intelligence|intelligence]]) ou subit 2d8 dégâts de feu.</t>
  </si>
  <si>
    <t>&gt;Pendant 5 tours, toute personne terminant son tour à une case de vous subit 1d10 dégâts de feu.</t>
  </si>
  <si>
    <t>&gt; Grave une marque discrète sur un objet, restant durant 3 jours ou jusqu'à ce que quelqu'un rentre en contact avec la marque, auquel cas cette dernière lui sera gravée avec une désagréable sensation de brulure. La brulure disparait après 3 jours.</t>
  </si>
  <si>
    <t>&gt;Faites un jet d'attaque avec la [[1. Entrainement#La dextérité|dextérité]] en touchant. Tire 2 projectiles infligeant 1d8 dégâts de glace. *Augmenter les dés de dégâts offre un projectile supplémentaire à la place. Chaque projectile demande un jet d'attaque séparé et peut viser une cible différente.*</t>
  </si>
  <si>
    <t>&gt;Faites un jet d'attaque avec la [[1. Entrainement#Dextérité|dextérité]]. Frappe une cible visible puis rebondit sur jusqu'à 2 autres cibles. Inflige 1d8[[2. Glossaire#Jet explosif|!]] dégâts de foudre.</t>
  </si>
  <si>
    <t>&gt;Se téléporte à 6 cases tant que vous pouvez voir et courir vers la destination.</t>
  </si>
  <si>
    <t>&gt;Faites un jet d'attaque avec la [[1. Entrainement#La dextérité|dextérité]]. Tire une décharge foudroyante d'énergie, infligeant 4d4[[2. Glossaire#Jet explosif|!]] dégâts de foudre.</t>
  </si>
  <si>
    <t>&gt;Faites un jet d'attaque avec la [[1. Entrainement#La dextérité|dextérité]]. Un pilier de matière est extirpé du sol pour aller frapper la cible, qui est alors déplacée d'une case. Si la cible est propulsée contre un mur, elle subit alors 3d12 dégâts contondant.</t>
  </si>
  <si>
    <t>&gt;Durant 1 minute, vous gagnez un bonus de 2 au blocage, mais subissez également un malus de 2 à l'esquive et perdez 2 cases de vitesse de course.</t>
  </si>
  <si>
    <t>&gt; Vous gagnez une résistance aux dégâts physiques jusqu'au début de votre prochain tour.</t>
  </si>
  <si>
    <t>&gt; Condense de l'énergie magique dans une arme ou un projectile sur vous. Vous faites une attaque immédiatement après avoir lancé ce sort sans dépenser d'action, infligeant 1d8 dégâts supplémentaire. Les dégâts de l'arme deviennent magique.</t>
  </si>
  <si>
    <t>&gt; Faites un jet d'attaque avec l'[[1. Entrainement#L'intelligence|intelligence]]. Vous condensez une puissante énergie magique qui est propulsée directement sur votre cible. Vous lancez 2d20 et prenez le plus haut résultat pour infliger des dégâts magique. *Avoir un [[2. Glossaire#Avantage et désavantage|avantage]] **aux dégâts** permet de lancer un autre d20.* *Augmenter les dégâts de ce sort permet d'infliger 5 dégâts magique supplémentaire.*</t>
  </si>
  <si>
    <t>&gt;La vitesse de course de votre cible augmente de 2 cases pendant 1 minute. Elle gagne également un bonus de +1 à l'esquive.</t>
  </si>
  <si>
    <t>&gt;Crée une imposante colonne d'air descendent de 3 cases de rayon sur 12 cases de haut à 18 cases de vous. Les créatures à l'intérieur ont un malus de 1 à l'esquive. Les créatures volantes chutent de 3 cases par tour. Dure 5 tours.</t>
  </si>
  <si>
    <t xml:space="preserve">&gt;Réduit le poids d'un objet à un dixième de son poids d'origine pendant 1 minute. Fonctionne sur des objets inertes allant jusqu'à 500kg. </t>
  </si>
  <si>
    <t>&gt;Permet à jusqu'à 5 herbes ou préparations médicinales de se conserver 1 jour de plus. *Ne peux être utilisé qu'une seule fois par herbe/préparation.*</t>
  </si>
  <si>
    <t>&gt; Vous récupérez un point de fatigue temporaire de la cible que vous touchez.</t>
  </si>
  <si>
    <t>&gt;Faites un jet d'attaque avec la [[1. Entrainement#La dextérité|dextérité]]. Inflige 2d8+2 dégâts magique à l'armure de la cible.</t>
  </si>
  <si>
    <t xml:space="preserve">&gt; Absorbe la lumière d'une zone de 4 cases de rayon, la faisant apparaitre comme plus sombre durant 1 minute. </t>
  </si>
  <si>
    <t>&gt; Si vous êtes dans une zone de noir total, vous pouvez vous téléporter dans n'importe quelle autre zone de noir total à 9 cases.</t>
  </si>
  <si>
    <t>&gt;Envenime l'esprit de la cible, brouillant sa perception de la réalité et lui faisant voir des images subliminales de chaos. La cible fait un [[3. Résistance aux chocs#Le jet de résistance|jet de résistance]] (d8/4 + mod. de psyché) à la [[2. Liste des effets#Apeuré|peur]].</t>
  </si>
  <si>
    <t>Precision</t>
  </si>
  <si>
    <t>Feu</t>
  </si>
  <si>
    <t>action</t>
  </si>
  <si>
    <t>Incantation</t>
  </si>
  <si>
    <t>Coût</t>
  </si>
  <si>
    <t>Trait de feu</t>
  </si>
  <si>
    <t>Echauffement</t>
  </si>
  <si>
    <t>Savoir</t>
  </si>
  <si>
    <t>Projection bouillonnante</t>
  </si>
  <si>
    <t>Corps ardent</t>
  </si>
  <si>
    <t>Concentration</t>
  </si>
  <si>
    <t>Gravure marquante</t>
  </si>
  <si>
    <t>10 minutes</t>
  </si>
  <si>
    <t>Protection supérieure</t>
  </si>
  <si>
    <t>Lames de glace</t>
  </si>
  <si>
    <t>TODO</t>
  </si>
  <si>
    <t>Instinct</t>
  </si>
  <si>
    <t>reaction</t>
  </si>
  <si>
    <t>Glace</t>
  </si>
  <si>
    <t>Foudre</t>
  </si>
  <si>
    <t>Terre</t>
  </si>
  <si>
    <t>Arcane</t>
  </si>
  <si>
    <t>Air</t>
  </si>
  <si>
    <t>Lumière</t>
  </si>
  <si>
    <t>Nature</t>
  </si>
  <si>
    <t>Psy</t>
  </si>
  <si>
    <t>Chaine de foudre</t>
  </si>
  <si>
    <t>Vitesse lumière</t>
  </si>
  <si>
    <t>Décharge de foudre</t>
  </si>
  <si>
    <t>No name</t>
  </si>
  <si>
    <t>Bouclier tortue</t>
  </si>
  <si>
    <t>Enchantement mineur</t>
  </si>
  <si>
    <t>Rupture de force</t>
  </si>
  <si>
    <t>Foulée aérienne</t>
  </si>
  <si>
    <t>Pression forcée</t>
  </si>
  <si>
    <t>Poids plume</t>
  </si>
  <si>
    <t>Dégats</t>
  </si>
  <si>
    <t>Categorie</t>
  </si>
  <si>
    <t>Utilitaire</t>
  </si>
  <si>
    <t>Buff</t>
  </si>
  <si>
    <t>Tank</t>
  </si>
  <si>
    <t>Mouvement</t>
  </si>
  <si>
    <t>Debuff</t>
  </si>
  <si>
    <t>Conservation</t>
  </si>
  <si>
    <t>1 minute</t>
  </si>
  <si>
    <t>Support</t>
  </si>
  <si>
    <t>Absorption radieuse</t>
  </si>
  <si>
    <t>Orbe de lumière</t>
  </si>
  <si>
    <t>Pas des ombres</t>
  </si>
  <si>
    <t>Description</t>
  </si>
  <si>
    <t>&gt;Faites un jet d'attaque avec la [[1. Entrainement#La dextérité|dextérité]]. Propulse un projectile de matière sur la cible, infligeant 1d12 dégâts contondant en touchant, ainsi qu'un [[3. Résistance aux chocs#Le jet de résistance|jet de résistance]] (d10/5 + mod. d'[[1. Entrainement#L'intelligence|intelligence]]) à l'[[2. Liste des effets#L'hébètement|hébètement]].</t>
  </si>
  <si>
    <t>&gt; Fait apparaitre une boule de lumière immatérielle illuminant d'une lumière visible à 12 cases. Peut être bougée de 6 cases avec une action libre.</t>
  </si>
  <si>
    <t>Boule de feu</t>
  </si>
  <si>
    <t>&gt;Une lame de glace vient grandir le long d'une arme que vous touchez. Augmente la portée de l'arme d'une case. L'extension inflige des dégâts tranchants. Dure 1 min, casse après 8 coups **réussis**.</t>
  </si>
  <si>
    <t>Lance de givre</t>
  </si>
  <si>
    <t>Cône de givre</t>
  </si>
  <si>
    <t>&gt;Se téléporte à un point visible à 9 cases max.</t>
  </si>
  <si>
    <t>Téléportation</t>
  </si>
  <si>
    <t>Foudroiement</t>
  </si>
  <si>
    <t>&gt; Durant 1 minute, vos [[4. Équipement#Les armes naturelles|armes naturelles]] se recouvrent de roches, infligeant des dégâts supplémentaires égal à votre mod. d'intelligence. A chaque coup porté (réussi comme raté), les dégâts décroient d'un point jusqu'à arrivée à 0.</t>
  </si>
  <si>
    <t>&gt; Fait apparaitre une myriade de petites pierres flottantes qui forment une ligne de 6 cases de long pour 3 lignes de haut. Tout le monde peut passer au travers mais les projectiles et sorts de précisions qui le traversent voit leur dé de dégâts réduit de 1 niveau. %% Important, pas de limite de durée %%</t>
  </si>
  <si>
    <t>IDEE: Télékinesie</t>
  </si>
  <si>
    <t>&gt; Condense de l'énergie magique dans toutes les arme ou projectiles sur vous. Vous faites une attaque immédiatement après avoir lancé ce sort sans dépenser d'action, avec chaque arme infligeant 1d8 dégâts supplémentaire. Les dégâts de l'arme deviennent magique.</t>
  </si>
  <si>
    <t>&gt; Condense de l'énergie magique dans une arme sur vous *jusqu'à la fin de votre prochain tour*. Vous faites une attaque immédiatement après avoir lancé ce sort sans dépenser d'action, infligeant 1d8 dégâts supplémentaire. Les dégâts de l'arme deviennent magique.</t>
  </si>
  <si>
    <t>&gt; Vous générez un vent chaotique dans un cylindre de 4 cases de rayon sur 6 cases de hauteur pendant 1 minute. Toute personne dans la zone doit se déplacer une fois par tour pour contrebalancer les puissantes rafales ou subira un malus de -2 à ces jets (hors [[1. Magie#Les sorts instinctif|sort d'instinct]]).</t>
  </si>
  <si>
    <t>&gt; Vous bénissez temporairement un arc avec la magie des vents pour les 3 prochaines attaques. Les flèches tirée par cet arc ont une vélocité accrue, les portée sont doublée et vous avez un bonus de +2 pour toucher à moyenne distance.</t>
  </si>
  <si>
    <t>&gt; Choisissez une cible volante visible à portée. Votre cible doit faire un [[3. Résistance aux chocs#Le jet de résistance|jet de résistance]] (d10/6 + mod. de [[1. Entrainement#La dextérité|dextérité]]) aux [[1. Magie#Les sorts de précision|sorts de précision]]. En cas d'échec, elle voit sa vitesse de vol réduite de 12 cases.</t>
  </si>
  <si>
    <t>&gt;Vous pouvez lancer ce sort lorsque vous êtes ciblé par une attaque au corps à corps. Faites un jet de [[1. Magie#Les sorts instinctif|sort instinctif]], si vous faites un meilleur score que l'attaque de votre attaquant, vous lui faites rater son attaque. Cependant, si vous ne parvenez pas à bloquer son attaque, il gagne un niveau de dé de dégâts sur son attaque. %% À vérifier %%</t>
  </si>
  <si>
    <t>&gt; Vous gagnez pendant 1 minute une vision dans le noir à 12 cases.</t>
  </si>
  <si>
    <t xml:space="preserve">&gt;*Ne fonctionne que si la cible touchée à subit des dégâts depuis votre dernier tour.* Vous touchez une plaie et intensifiez la douleur à l'extrême. La cible doit faire un [[3. Résistance aux chocs#Le jet de résistance|jet de résistance]] (d10/5 + mod. d'[[1. Entrainement#L'intelligence|intelligence]] + 1 par 10% de vie perdu au tour précédent) à l'[[2. Liste des effets#L'hébètement|hébètement]]. </t>
  </si>
  <si>
    <t>&gt;Vous pouvez perturber les flux magiques d'un lanceur de sort que vous voyez à 9 cases pour lui imposer un malus de 3 à son lancer de sort en cours.</t>
  </si>
  <si>
    <t>Poussière incandescente</t>
  </si>
  <si>
    <t>Enchantement tenace</t>
  </si>
  <si>
    <t>Enchantement dense</t>
  </si>
  <si>
    <t>&gt; Votre cible doit faire un [[3. Résistance aux chocs#Le jet de résistance|jet de résistance]] (d4/3 + mod. d'[[1. Entrainement#L'intelligence|intelligence]]) à l'[[2. Liste des effets#Influencé|influence]]. En cas d'échec, elle perds 2d4[[2. Glossaire#Jet explosif|!]] mana.</t>
  </si>
  <si>
    <t>Apaisement</t>
  </si>
  <si>
    <t>Painshock</t>
  </si>
  <si>
    <t>Perturbateur</t>
  </si>
  <si>
    <t>&gt;Fait apparaitre une tornade de braises ardente de 2 cases de rayon. Chaque tour, vous pouvez la faire bouger de 2 cases pour 1 point d'action. Toute personne commençant son tour dans la tornade subit 2d8 dégâts de feu.</t>
  </si>
  <si>
    <t>&gt;Fait apparaitre une orbe de foudre d'une case. Chaque tour pendant 1 minute, à l'initiative de l'environnement, l'orbe lance un d4 pour choisir un point cardinal. Chaque personne dans un cône de 6 cases (90°) dans cette direction doit faire un [[3. Résistance aux chocs#Le jet de résistance|jet de résistance]] (d12/7 + mod. d'[[1. Entrainement#L'intelligence|intelligence]]) aux [[1. Magie#Les sorts de précision|sorts de précision]] ou subit 6d6[[2. Glossaire#Jet explosif|!]] dégâts de foudre.</t>
  </si>
  <si>
    <t>&gt;Faites un jet d'attaque avec l'[[1. Entrainement#L'intelligence|intelligence]]. Vous propulsez une énergie magique pure condensée sur votre adversaire avec une puissance absolue. Vous infligez 1d6[[2. Glossaire#Jet explosif|!]]+2 dégâts magique par tranche de 3 mana dépensé. Vous pouvez dépenser jusqu'à 30 mana. Vous subissez un malus de 4 au lancer de sort au tour suivant.</t>
  </si>
  <si>
    <t>&gt; Place une anomalie visuelle à 3 cases émettant une [[6. Visibilité et lumière#Lumière intense|lumière vive]] à 9 cases. Lorsqu'un être vivant rentre en contact avec l'anomalie, il absorbe toute l'énergie magique et subit 4d8 points de dégâts magique</t>
  </si>
  <si>
    <t>Tourbillon de braise</t>
  </si>
  <si>
    <t>Engourdissement</t>
  </si>
  <si>
    <t>Orbe de chaos</t>
  </si>
  <si>
    <t>Rejet pur</t>
  </si>
  <si>
    <t>Disruption</t>
  </si>
  <si>
    <t>Anomalie immaculée</t>
  </si>
  <si>
    <t>&gt;La cible doit faire un [[3. Résistance aux chocs#Le jet de résistance|jet de résistance]] (d10/6 + mod. de [[1. Entrainement#La psyché|psyché]]) aux [[1. Magie#Les sorts instinctif|sorts d'instinct]], divisant sa vitesse par 2 et lui imposant un malus de 3 pour attaquer avec des armes en cas d'échec.</t>
  </si>
  <si>
    <t>Rang 1</t>
  </si>
  <si>
    <t>Rang 2</t>
  </si>
  <si>
    <t>Rang 3</t>
  </si>
  <si>
    <t>Précision</t>
  </si>
  <si>
    <t>Total général</t>
  </si>
  <si>
    <t>Nombre de Rang</t>
  </si>
  <si>
    <t>Protection suprême</t>
  </si>
  <si>
    <t>&gt;Vous vous entourez d'une imposante carapace de roche réactive qui absorbe les chocs. Vous gagnez une armure temporaire de 25PV (-5PV) pendant 2 tours. Subir un coup critique détruit l'armure mais annule l'effet critique.</t>
  </si>
  <si>
    <t>&gt;En touchant la cible, guérit l'influence, le charme et la peur, mais inflige un malus de -1 aux jets de résistance de défense pour ces effets durant 3 tours.</t>
  </si>
  <si>
    <t>(Plusieurs éléments)</t>
  </si>
  <si>
    <t>&gt;Vous vous entourez d'un manteau de flamme pendant 1 minute. Tant que vous maintenez les flammes, vous subissez 1d4 dégâts de [[4. Les types de dégâts#Feu|feu]] et avez une [[1. Combat#Résistances et vulnérabilités|résistance]] aux dégâts de [[4. Les types de dégâts#Glace|glace]]. En un point d'action, vous pouvez mettre fin au sort en expulsant les flammes à 2 cases de vous, imposant un jet de résistance aux [[1. Magie#Les sorts de savoir|sorts de savoir]] (d4/3 + mod. d'[[1. Entrainement#L'intelligence|intelligence]]) à toute personne dans la zone qui subissent alors 2d10 de dégâts de [[4. Les types de dégâts#Feu|feu]] en cas d'échec.</t>
  </si>
  <si>
    <t>Distance</t>
  </si>
  <si>
    <t>12 cases</t>
  </si>
  <si>
    <t>3 cases</t>
  </si>
  <si>
    <t>9 cases</t>
  </si>
  <si>
    <t>Personnel</t>
  </si>
  <si>
    <t>6 cases</t>
  </si>
  <si>
    <t>18 cases</t>
  </si>
  <si>
    <t>Toucher</t>
  </si>
  <si>
    <t>&gt; Tire un trait de foudre vrombissant sur 12 cases en partant de votre position. Chaque personne sur la ligne doit faire un [[3. Résistance aux chocs#Le jet de résistance|jet de résistance]] (d10/6 + mod. d'[[1. Entrainement#L'intelligence|intelligence]]) aux [[1. Magie#Les sorts de précision|sorts de précision]] ou subit 10d4! dégâts de foudre.</t>
  </si>
  <si>
    <t>&gt;Lance une boule de feu éclatant sur 4 cases de rayon. Chaque personne dans le rayon doit faire un [[3. Résistance aux chocs#Le jet de résistance|jet de résistance]] (d10/6 + mod. d'[[1. Entrainement#L'intelligence|intelligence]]) aux [[1. Magie#Les sorts de précision|sorts de précision]] ou subit 4d10 dégâts de [[4. Les types de dégâts#Feu|feu]].</t>
  </si>
  <si>
    <t>&gt; Vous faites s'abattre un cône de givre sur vos cible. Chaque personne dans un cône de 6 cases (60°) doit réussir un [[3. Résistance aux chocs#Le jet de résistance|jet de résistance]] (d10/6 + mod. d'[[1. Entrainement#L'intelligence|intelligence]]) aux [[1. Magie#Les sorts de précision|sorts de précision]] ou subit 5d8 dégâts de [[4. Les types de dégâts#Glace|glace]].</t>
  </si>
  <si>
    <t>&gt;Votre cible doit faire un [[3. Résistance aux chocs#Le jet de résistance|jet de résistance]] (d8/5 + mod. d'[[1. Entrainement#L'intelligence|intelligence]]) aux [[1. Magie#Les sorts de savoir|sorts de savoir]]. En cas d'échec, elle subit un point de [[3. Fatigue et repos#Fatigue temporaire|fatigue temporaire]].</t>
  </si>
  <si>
    <t>&gt; Vous récupérez un point de [[3. Fatigue et repos#Fatigue persistante|fatigue persistante]] de votre cible.</t>
  </si>
  <si>
    <t>&gt; Crée une zone de poussière brulante de 6 cases de rayon émettant une lumière intense durant 1 minute. Finir son tour dans la poussière vous fait subir 1d6 dégâts de feu. Vous ne pouvez pas être [[6. Visibilité et lumière#Caché|caché]] dans la zone de poussière.</t>
  </si>
  <si>
    <t>Piège de cristal</t>
  </si>
  <si>
    <t>&gt;Vous placez une mine de glace sur une case inoccupée. Lorsqu'elle subit le moindre dégât, elle explose sur 2 cases et inflige 3d6 de dégâts [[4. Les types de dégâts#Perçant|perçant]]. Si un personnage marche dessus, il subit 4d8 de dégâts [[4. Les types de dégâts#Perçant|perçant]] à la place.</t>
  </si>
  <si>
    <t>&gt;Vous tentez de geler les jambes de votre cible. La cible doit faire un jet de résistance (d8/5 + mod. de [[1. Entrainement#La psyché|psyché]]) aux [[1. Magie#Les sorts instinctif|sorts d'instinct]] ou est [[2. Liste des effets#Agrippé|agrippée]] durant 3 tours. Vous ne pouvez pas vous déplacer malgré la contrainte.</t>
  </si>
  <si>
    <t>Essence magique</t>
  </si>
  <si>
    <t>Vision arcanique</t>
  </si>
  <si>
    <t xml:space="preserve">&gt;Vous êtes capable d'identifier toutes les composantes d'un sort, d'un enchantement ou d'un objet magique. </t>
  </si>
  <si>
    <t xml:space="preserve">&gt;Pendant 10 minutes, vous pouvez percevoir toute trace de magie sous forme de tache bleutée laissant une faible persistance sur votre rétine. </t>
  </si>
  <si>
    <t>&gt;Vous rafistolez sommairement une armure abimée, lui faisant récupérer 2d10 point de vie pour 4 mana. Vous ne pouvez la réparer que 2 fois avec ce sort avant de devoir la réparer avec des procédés non magique. Cependant, certaines armures magiques ne peuvent être réparer qu'avec ce sort.</t>
  </si>
  <si>
    <t>Rafistolage</t>
  </si>
  <si>
    <t>&gt;Lorsque vous êtes visé par une attaque, vous créez une couche de glace autour de votre armure, lui permettant de subir l'intégralité des dégâts sur le coup.</t>
  </si>
  <si>
    <t>Illusion mineure #idee</t>
  </si>
  <si>
    <t>Illusion majeure #idee</t>
  </si>
  <si>
    <t>Illusion modérée #idee</t>
  </si>
  <si>
    <t>&gt;Faites un jet d'attaque avec la [[1. Entrainement#La psyché|psyché]]. Vous imposez un jet de concentration à une cible que vous voyez. La difficulté est de 4d6+4.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</si>
</sst>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4" x14ac:knownFonts="1">
    <font>
      <sz val="11"/>
      <color theme="1"/>
      <name val="Calibri"/>
      <family val="2"/>
      <scheme val="minor"/>
    </font>
    <font>
      <sz val="11"/>
      <color theme="1"/>
      <name val="Calibri"/>
      <family val="2"/>
      <scheme val="minor"/>
    </font>
    <font>
      <sz val="8"/>
      <name val="Calibri"/>
      <family val="2"/>
      <scheme val="minor"/>
    </font>
    <font>
      <b/>
      <sz val="11"/>
      <color theme="1"/>
      <name val="Microsoft YaHei"/>
      <family val="2"/>
    </font>
  </fonts>
  <fills count="7">
    <fill>
      <patternFill patternType="none"/>
    </fill>
    <fill>
      <patternFill patternType="gray125"/>
    </fill>
    <fill>
      <patternFill patternType="solid">
        <fgColor theme="0" tint="-4.9989318521683403E-2"/>
        <bgColor indexed="64"/>
      </patternFill>
    </fill>
    <fill>
      <patternFill patternType="solid">
        <fgColor theme="4" tint="-0.249977111117893"/>
        <bgColor indexed="64"/>
      </patternFill>
    </fill>
    <fill>
      <patternFill patternType="solid">
        <fgColor theme="7" tint="0.79998168889431442"/>
        <bgColor indexed="64"/>
      </patternFill>
    </fill>
    <fill>
      <patternFill patternType="solid">
        <fgColor theme="5" tint="0.59999389629810485"/>
        <bgColor indexed="64"/>
      </patternFill>
    </fill>
    <fill>
      <patternFill patternType="solid">
        <fgColor theme="4" tint="0.79998168889431442"/>
        <bgColor indexed="64"/>
      </patternFill>
    </fill>
  </fills>
  <borders count="29">
    <border>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xf numFmtId="9" fontId="1" fillId="0" borderId="0" applyFont="0" applyFill="0" applyBorder="0" applyAlignment="0" applyProtection="0"/>
  </cellStyleXfs>
  <cellXfs count="64">
    <xf numFmtId="0" fontId="0" fillId="0" borderId="0" xfId="0"/>
    <xf numFmtId="49" fontId="0" fillId="0" borderId="0" xfId="0" applyNumberFormat="1"/>
    <xf numFmtId="1" fontId="0" fillId="0" borderId="0" xfId="0" applyNumberFormat="1"/>
    <xf numFmtId="0" fontId="0" fillId="0" borderId="3" xfId="0" applyBorder="1"/>
    <xf numFmtId="0" fontId="0" fillId="0" borderId="5" xfId="0" applyBorder="1"/>
    <xf numFmtId="0" fontId="0" fillId="0" borderId="1" xfId="0" applyBorder="1"/>
    <xf numFmtId="0" fontId="0" fillId="0" borderId="0" xfId="0" pivotButton="1"/>
    <xf numFmtId="0" fontId="0" fillId="0" borderId="0" xfId="0" applyAlignment="1">
      <alignment horizontal="left"/>
    </xf>
    <xf numFmtId="0" fontId="0" fillId="0" borderId="0" xfId="0" applyAlignment="1">
      <alignment horizontal="center" vertical="center"/>
    </xf>
    <xf numFmtId="0" fontId="0" fillId="0" borderId="0" xfId="0" applyAlignment="1">
      <alignment horizontal="right"/>
    </xf>
    <xf numFmtId="0" fontId="0" fillId="2" borderId="0" xfId="0" applyFill="1"/>
    <xf numFmtId="0" fontId="0" fillId="3" borderId="0" xfId="0" applyFill="1"/>
    <xf numFmtId="0" fontId="0" fillId="0" borderId="0" xfId="0" applyAlignment="1">
      <alignment horizontal="center"/>
    </xf>
    <xf numFmtId="1" fontId="0" fillId="0" borderId="0" xfId="0" applyNumberFormat="1" applyAlignment="1">
      <alignment horizontal="center"/>
    </xf>
    <xf numFmtId="1" fontId="0" fillId="2" borderId="0" xfId="0" applyNumberFormat="1" applyFill="1" applyAlignment="1">
      <alignment horizontal="center"/>
    </xf>
    <xf numFmtId="0" fontId="0" fillId="3" borderId="0" xfId="0" applyFill="1" applyAlignment="1">
      <alignment horizontal="center"/>
    </xf>
    <xf numFmtId="0" fontId="0" fillId="2" borderId="0" xfId="0" applyFill="1" applyAlignment="1">
      <alignment horizontal="center"/>
    </xf>
    <xf numFmtId="0" fontId="0" fillId="0" borderId="7" xfId="0" applyBorder="1"/>
    <xf numFmtId="0" fontId="0" fillId="4" borderId="0" xfId="0" applyFill="1"/>
    <xf numFmtId="0" fontId="0" fillId="5" borderId="0" xfId="0" applyFill="1"/>
    <xf numFmtId="0" fontId="0" fillId="0" borderId="0" xfId="0" applyAlignment="1">
      <alignment horizontal="left" vertical="center"/>
    </xf>
    <xf numFmtId="0" fontId="0" fillId="6" borderId="0" xfId="0" applyFill="1"/>
    <xf numFmtId="0" fontId="0" fillId="0" borderId="8" xfId="0" applyBorder="1"/>
    <xf numFmtId="0" fontId="0" fillId="0" borderId="9" xfId="0" applyBorder="1"/>
    <xf numFmtId="0" fontId="0" fillId="0" borderId="10" xfId="0" applyBorder="1"/>
    <xf numFmtId="0" fontId="0" fillId="0" borderId="11" xfId="0" applyBorder="1"/>
    <xf numFmtId="0" fontId="0" fillId="0" borderId="12" xfId="0" applyBorder="1"/>
    <xf numFmtId="0" fontId="0" fillId="0" borderId="13" xfId="0" applyBorder="1"/>
    <xf numFmtId="0" fontId="0" fillId="0" borderId="14" xfId="0" applyBorder="1"/>
    <xf numFmtId="0" fontId="0" fillId="0" borderId="15" xfId="0" applyBorder="1"/>
    <xf numFmtId="0" fontId="0" fillId="0" borderId="16" xfId="0" applyBorder="1" applyAlignment="1">
      <alignment horizontal="center"/>
    </xf>
    <xf numFmtId="0" fontId="0" fillId="0" borderId="17" xfId="0" applyBorder="1" applyAlignment="1">
      <alignment horizontal="center"/>
    </xf>
    <xf numFmtId="0" fontId="0" fillId="0" borderId="18" xfId="0" applyBorder="1" applyAlignment="1">
      <alignment horizontal="center"/>
    </xf>
    <xf numFmtId="0" fontId="0" fillId="0" borderId="19" xfId="0" applyBorder="1" applyAlignment="1">
      <alignment horizontal="center"/>
    </xf>
    <xf numFmtId="0" fontId="0" fillId="0" borderId="11" xfId="0" applyBorder="1" applyAlignment="1">
      <alignment horizontal="center"/>
    </xf>
    <xf numFmtId="0" fontId="0" fillId="0" borderId="20" xfId="0" applyBorder="1" applyAlignment="1">
      <alignment horizontal="center"/>
    </xf>
    <xf numFmtId="164" fontId="0" fillId="0" borderId="2" xfId="1" applyNumberFormat="1" applyFont="1" applyBorder="1" applyAlignment="1">
      <alignment horizontal="center"/>
    </xf>
    <xf numFmtId="164" fontId="0" fillId="0" borderId="4" xfId="1" applyNumberFormat="1" applyFont="1" applyBorder="1" applyAlignment="1">
      <alignment horizontal="center"/>
    </xf>
    <xf numFmtId="164" fontId="0" fillId="0" borderId="6" xfId="1" applyNumberFormat="1" applyFont="1" applyBorder="1" applyAlignment="1">
      <alignment horizontal="center"/>
    </xf>
    <xf numFmtId="164" fontId="0" fillId="0" borderId="21" xfId="1" applyNumberFormat="1" applyFont="1" applyBorder="1" applyAlignment="1">
      <alignment horizontal="center"/>
    </xf>
    <xf numFmtId="164" fontId="0" fillId="0" borderId="22" xfId="1" applyNumberFormat="1" applyFont="1" applyBorder="1" applyAlignment="1">
      <alignment horizontal="center"/>
    </xf>
    <xf numFmtId="164" fontId="0" fillId="0" borderId="23" xfId="1" applyNumberFormat="1" applyFont="1" applyBorder="1" applyAlignment="1">
      <alignment horizontal="center"/>
    </xf>
    <xf numFmtId="0" fontId="0" fillId="0" borderId="7" xfId="0" pivotButton="1" applyBorder="1"/>
    <xf numFmtId="0" fontId="0" fillId="0" borderId="24" xfId="0" applyBorder="1"/>
    <xf numFmtId="0" fontId="0" fillId="0" borderId="25" xfId="0" applyBorder="1"/>
    <xf numFmtId="0" fontId="0" fillId="0" borderId="26" xfId="0" applyBorder="1"/>
    <xf numFmtId="0" fontId="0" fillId="0" borderId="9" xfId="0" applyBorder="1" applyAlignment="1">
      <alignment horizontal="center"/>
    </xf>
    <xf numFmtId="0" fontId="0" fillId="0" borderId="7" xfId="0" pivotButton="1" applyBorder="1" applyAlignment="1">
      <alignment horizontal="center"/>
    </xf>
    <xf numFmtId="0" fontId="0" fillId="0" borderId="24" xfId="0" applyBorder="1" applyAlignment="1">
      <alignment horizontal="center"/>
    </xf>
    <xf numFmtId="0" fontId="0" fillId="0" borderId="26" xfId="0" applyBorder="1" applyAlignment="1">
      <alignment horizontal="center"/>
    </xf>
    <xf numFmtId="0" fontId="0" fillId="0" borderId="27" xfId="0" applyBorder="1" applyAlignment="1">
      <alignment horizontal="center" vertical="center" wrapText="1"/>
    </xf>
    <xf numFmtId="0" fontId="0" fillId="0" borderId="16" xfId="0" applyBorder="1" applyAlignment="1">
      <alignment horizontal="center" vertical="center" wrapText="1"/>
    </xf>
    <xf numFmtId="0" fontId="0" fillId="0" borderId="28" xfId="0" applyBorder="1" applyAlignment="1">
      <alignment horizontal="center" vertical="center" wrapText="1"/>
    </xf>
    <xf numFmtId="0" fontId="0" fillId="0" borderId="16" xfId="0" applyBorder="1" applyAlignment="1">
      <alignment horizontal="left" indent="1"/>
    </xf>
    <xf numFmtId="0" fontId="0" fillId="0" borderId="28" xfId="0" applyBorder="1" applyAlignment="1">
      <alignment horizontal="left" indent="1"/>
    </xf>
    <xf numFmtId="0" fontId="3" fillId="0" borderId="0" xfId="0" applyFont="1" applyAlignment="1">
      <alignment horizontal="center"/>
    </xf>
    <xf numFmtId="0" fontId="0" fillId="0" borderId="24" xfId="0" pivotButton="1" applyBorder="1"/>
    <xf numFmtId="0" fontId="0" fillId="0" borderId="7" xfId="0" applyBorder="1" applyAlignment="1">
      <alignment horizontal="left"/>
    </xf>
    <xf numFmtId="0" fontId="0" fillId="0" borderId="27" xfId="0" applyBorder="1" applyAlignment="1">
      <alignment horizontal="left" indent="1"/>
    </xf>
    <xf numFmtId="0" fontId="0" fillId="0" borderId="25" xfId="0" applyBorder="1" applyAlignment="1">
      <alignment horizontal="center"/>
    </xf>
    <xf numFmtId="0" fontId="0" fillId="0" borderId="7" xfId="0" applyBorder="1" applyAlignment="1">
      <alignment horizont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0" borderId="26" xfId="0" applyBorder="1" applyAlignment="1">
      <alignment horizontal="center" vertical="center" wrapText="1"/>
    </xf>
  </cellXfs>
  <cellStyles count="2">
    <cellStyle name="Normal" xfId="0" builtinId="0"/>
    <cellStyle name="Pourcentage" xfId="1" builtinId="5"/>
  </cellStyles>
  <dxfs count="82">
    <dxf>
      <fill>
        <patternFill>
          <bgColor theme="5" tint="0.59996337778862885"/>
        </patternFill>
      </fill>
    </dxf>
    <dxf>
      <fill>
        <patternFill>
          <bgColor theme="4" tint="0.59996337778862885"/>
        </patternFill>
      </fill>
    </dxf>
    <dxf>
      <fill>
        <patternFill>
          <bgColor rgb="FFA365D1"/>
        </patternFill>
      </fill>
    </dxf>
    <dxf>
      <font>
        <color theme="0"/>
      </font>
      <fill>
        <patternFill>
          <bgColor theme="7" tint="-0.499984740745262"/>
        </patternFill>
      </fill>
    </dxf>
    <dxf>
      <fill>
        <patternFill>
          <bgColor rgb="FF8271FF"/>
        </patternFill>
      </fill>
    </dxf>
    <dxf>
      <fill>
        <patternFill>
          <bgColor theme="6" tint="0.79998168889431442"/>
        </patternFill>
      </fill>
    </dxf>
    <dxf>
      <fill>
        <patternFill>
          <bgColor theme="7" tint="0.79998168889431442"/>
        </patternFill>
      </fill>
    </dxf>
    <dxf>
      <fill>
        <patternFill>
          <bgColor theme="9" tint="0.79998168889431442"/>
        </patternFill>
      </fill>
    </dxf>
    <dxf>
      <font>
        <color theme="0"/>
      </font>
      <fill>
        <patternFill>
          <bgColor rgb="FF7030A0"/>
        </patternFill>
      </fill>
    </dxf>
    <dxf>
      <alignment horizontal="left"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font>
        <b/>
        <strike val="0"/>
        <outline val="0"/>
        <shadow val="0"/>
        <u val="none"/>
        <vertAlign val="baseline"/>
        <sz val="11"/>
        <color theme="1"/>
        <name val="Microsoft YaHei"/>
        <family val="2"/>
        <scheme val="none"/>
      </font>
      <alignment horizontal="center" vertical="bottom" textRotation="0" wrapText="0" indent="0" justifyLastLine="0" shrinkToFit="0" readingOrder="0"/>
    </dxf>
    <dxf>
      <numFmt numFmtId="0" formatCode="General"/>
      <alignment horizontal="right" vertical="bottom" textRotation="0" wrapText="0" indent="0" justifyLastLine="0" shrinkToFit="0" readingOrder="0"/>
    </dxf>
    <dxf>
      <numFmt numFmtId="0" formatCode="General"/>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numFmt numFmtId="0" formatCode="General"/>
      <fill>
        <patternFill patternType="solid">
          <fgColor indexed="64"/>
          <bgColor theme="0" tint="-4.9989318521683403E-2"/>
        </patternFill>
      </fill>
    </dxf>
    <dxf>
      <numFmt numFmtId="0" formatCode="General"/>
      <fill>
        <patternFill patternType="solid">
          <fgColor indexed="64"/>
          <bgColor theme="0" tint="-4.9989318521683403E-2"/>
        </patternFill>
      </fill>
    </dxf>
    <dxf>
      <numFmt numFmtId="30" formatCode="@"/>
    </dxf>
    <dxf>
      <numFmt numFmtId="1" formatCode="0"/>
    </dxf>
    <dxf>
      <numFmt numFmtId="30" formatCode="@"/>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4" tint="0.59999389629810485"/>
        </patternFill>
      </fill>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0" formatCode="General"/>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4" tint="0.59999389629810485"/>
        </patternFill>
      </fill>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0" formatCode="General"/>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4" tint="0.59999389629810485"/>
        </patternFill>
      </fill>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0" formatCode="General"/>
      <fill>
        <patternFill patternType="solid">
          <fgColor indexed="64"/>
          <bgColor theme="0" tint="-4.9989318521683403E-2"/>
        </patternFill>
      </fill>
      <alignment horizontal="center" vertical="bottom" textRotation="0" wrapText="0" indent="0" justifyLastLine="0" shrinkToFit="0" readingOrder="0"/>
    </dxf>
    <dxf>
      <numFmt numFmtId="30" formatCode="@"/>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alignment horizontal="center"/>
    </dxf>
    <dxf>
      <alignment horizontal="center"/>
    </dxf>
    <dxf>
      <border>
        <right style="thin">
          <color indexed="64"/>
        </right>
      </border>
    </dxf>
    <dxf>
      <border>
        <right style="thin">
          <color indexed="64"/>
        </right>
      </border>
    </dxf>
    <dxf>
      <border>
        <right style="thin">
          <color indexed="64"/>
        </right>
      </border>
    </dxf>
    <dxf>
      <border>
        <right style="thin">
          <color indexed="64"/>
        </right>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right style="thin">
          <color indexed="64"/>
        </right>
        <bottom style="thin">
          <color indexed="64"/>
        </bottom>
        <vertical style="thin">
          <color indexed="64"/>
        </vertical>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alignment vertical="bottom"/>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s>
  <tableStyles count="1" defaultTableStyle="TableStyleMedium2" defaultPivotStyle="PivotStyleLight16">
    <tableStyle name="Neutre" pivot="0" count="0" xr9:uid="{6361CA36-85CB-4715-BBC4-33F0F5CC9D8A}"/>
  </tableStyles>
  <colors>
    <mruColors>
      <color rgb="FF8271FF"/>
      <color rgb="FFA365D1"/>
      <color rgb="FFF27E7E"/>
      <color rgb="FFFF7C80"/>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pivotCacheDefinition" Target="pivotCache/pivotCacheDefinition2.xml"/><Relationship Id="rId11" Type="http://schemas.openxmlformats.org/officeDocument/2006/relationships/customXml" Target="../customXml/item1.xml"/><Relationship Id="rId5" Type="http://schemas.openxmlformats.org/officeDocument/2006/relationships/pivotCacheDefinition" Target="pivotCache/pivotCacheDefinition1.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Clément PONS" refreshedDate="45330.614709837966" createdVersion="8" refreshedVersion="8" minRefreshableVersion="3" recordCount="36" xr:uid="{B2C4A21F-6C02-4AD4-B33F-9B17E06CB94F}">
  <cacheSource type="worksheet">
    <worksheetSource name="Aspects"/>
  </cacheSource>
  <cacheFields count="22">
    <cacheField name="Aspect" numFmtId="0">
      <sharedItems/>
    </cacheField>
    <cacheField name="Physique" numFmtId="0">
      <sharedItems/>
    </cacheField>
    <cacheField name="Phy min" numFmtId="1">
      <sharedItems containsSemiMixedTypes="0" containsString="0" containsNumber="1" containsInteger="1" minValue="0" maxValue="15"/>
    </cacheField>
    <cacheField name="Phy max" numFmtId="1">
      <sharedItems containsString="0" containsBlank="1" containsNumber="1" containsInteger="1" minValue="10" maxValue="30"/>
    </cacheField>
    <cacheField name="Mental" numFmtId="0">
      <sharedItems/>
    </cacheField>
    <cacheField name="Men min" numFmtId="1">
      <sharedItems containsSemiMixedTypes="0" containsString="0" containsNumber="1" containsInteger="1" minValue="0" maxValue="15"/>
    </cacheField>
    <cacheField name="Men max" numFmtId="1">
      <sharedItems containsString="0" containsBlank="1" containsNumber="1" containsInteger="1" minValue="10" maxValue="30"/>
    </cacheField>
    <cacheField name="Charactère" numFmtId="0">
      <sharedItems/>
    </cacheField>
    <cacheField name="Cha min" numFmtId="1">
      <sharedItems containsString="0" containsBlank="1" containsNumber="1" containsInteger="1" minValue="0" maxValue="15"/>
    </cacheField>
    <cacheField name="Cha max" numFmtId="1">
      <sharedItems containsString="0" containsBlank="1" containsNumber="1" containsInteger="1" minValue="18" maxValue="25"/>
    </cacheField>
    <cacheField name="Min stats" numFmtId="1">
      <sharedItems containsSemiMixedTypes="0" containsString="0" containsNumber="1" containsInteger="1" minValue="15" maxValue="35"/>
    </cacheField>
    <cacheField name="Max stats" numFmtId="1">
      <sharedItems containsSemiMixedTypes="0" containsString="0" containsNumber="1" containsInteger="1" minValue="0" maxValue="65"/>
    </cacheField>
    <cacheField name="Range stats" numFmtId="1">
      <sharedItems containsSemiMixedTypes="0" containsString="0" containsNumber="1" containsInteger="1" minValue="0" maxValue="35"/>
    </cacheField>
    <cacheField name="Stat favorite" numFmtId="1">
      <sharedItems containsBlank="1" count="8">
        <s v="Force"/>
        <s v="Dextérité"/>
        <s v="Éloquence"/>
        <s v="Intelligence"/>
        <s v="Curiosité"/>
        <s v="Psyché"/>
        <s v="Résilience"/>
        <m u="1"/>
      </sharedItems>
    </cacheField>
    <cacheField name="Alignement" numFmtId="49">
      <sharedItems/>
    </cacheField>
    <cacheField name="Bonté" numFmtId="0">
      <sharedItems count="3">
        <s v="Bon"/>
        <s v="Mauvais"/>
        <s v="Neutre"/>
      </sharedItems>
    </cacheField>
    <cacheField name="Loyauté" numFmtId="0">
      <sharedItems count="3">
        <s v="Neutre"/>
        <s v="Chaotique"/>
        <s v="Loyal"/>
      </sharedItems>
    </cacheField>
    <cacheField name="Magie" numFmtId="0">
      <sharedItems containsSemiMixedTypes="0" containsString="0" containsNumber="1" containsInteger="1" minValue="1" maxValue="2"/>
    </cacheField>
    <cacheField name="Min" numFmtId="0">
      <sharedItems containsSemiMixedTypes="0" containsString="0" containsNumber="1" containsInteger="1" minValue="1" maxValue="1"/>
    </cacheField>
    <cacheField name="Max" numFmtId="0">
      <sharedItems containsSemiMixedTypes="0" containsString="0" containsNumber="1" containsInteger="1" minValue="0" maxValue="1"/>
    </cacheField>
    <cacheField name="Range" numFmtId="0">
      <sharedItems containsSemiMixedTypes="0" containsString="0" containsNumber="1" containsInteger="1" minValue="0" maxValue="1"/>
    </cacheField>
    <cacheField name="Commentaire" numFmtId="0">
      <sharedItems containsBlank="1"/>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Peace" refreshedDate="45792.013266203707" createdVersion="8" refreshedVersion="8" minRefreshableVersion="3" recordCount="117" xr:uid="{805874E3-90C4-4A74-B6B7-26F78E8EC6CD}">
  <cacheSource type="worksheet">
    <worksheetSource name="Sorts"/>
  </cacheSource>
  <cacheFields count="11">
    <cacheField name="Sort" numFmtId="0">
      <sharedItems containsBlank="1"/>
    </cacheField>
    <cacheField name="Rang" numFmtId="0">
      <sharedItems containsSemiMixedTypes="0" containsString="0" containsNumber="1" containsInteger="1" minValue="1" maxValue="3" count="3">
        <n v="1"/>
        <n v="2"/>
        <n v="3"/>
      </sharedItems>
    </cacheField>
    <cacheField name="Type" numFmtId="0">
      <sharedItems containsBlank="1" count="4">
        <s v="Precision"/>
        <s v="Savoir"/>
        <s v="Instinct"/>
        <m/>
      </sharedItems>
    </cacheField>
    <cacheField name="Element" numFmtId="0">
      <sharedItems count="9">
        <s v="Feu"/>
        <s v="Glace"/>
        <s v="Foudre"/>
        <s v="Terre"/>
        <s v="Arcane"/>
        <s v="Air"/>
        <s v="Nature"/>
        <s v="Lumière"/>
        <s v="Psy"/>
      </sharedItems>
    </cacheField>
    <cacheField name="Coût" numFmtId="0">
      <sharedItems containsString="0" containsBlank="1" containsNumber="1" containsInteger="1" minValue="2" maxValue="9"/>
    </cacheField>
    <cacheField name="Incantation" numFmtId="0">
      <sharedItems containsBlank="1"/>
    </cacheField>
    <cacheField name="Concentration" numFmtId="0">
      <sharedItems containsSemiMixedTypes="0" containsString="0" containsNumber="1" containsInteger="1" minValue="0" maxValue="1"/>
    </cacheField>
    <cacheField name="Distance" numFmtId="0">
      <sharedItems containsBlank="1"/>
    </cacheField>
    <cacheField name="Categorie" numFmtId="0">
      <sharedItems containsBlank="1"/>
    </cacheField>
    <cacheField name="Commentaire" numFmtId="0">
      <sharedItems containsBlank="1" count="3">
        <m/>
        <s v="TODO"/>
        <s v="IDEE: Télékinesie"/>
      </sharedItems>
    </cacheField>
    <cacheField name="Description" numFmtId="0">
      <sharedItems containsBlank="1" longText="1"/>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36">
  <r>
    <s v="Akkatom"/>
    <s v="15 - "/>
    <n v="15"/>
    <m/>
    <s v="8 - "/>
    <n v="8"/>
    <m/>
    <s v="8 - "/>
    <n v="8"/>
    <m/>
    <n v="31"/>
    <n v="0"/>
    <n v="0"/>
    <x v="0"/>
    <s v="Neutre bon"/>
    <x v="0"/>
    <x v="0"/>
    <n v="2"/>
    <n v="1"/>
    <n v="0"/>
    <n v="0"/>
    <m/>
  </r>
  <r>
    <s v="Rudnard"/>
    <s v="12 - "/>
    <n v="12"/>
    <m/>
    <s v="8 - 25"/>
    <n v="8"/>
    <n v="25"/>
    <s v="10 - "/>
    <n v="10"/>
    <m/>
    <n v="30"/>
    <n v="25"/>
    <n v="0"/>
    <x v="1"/>
    <s v="Chaotique bon"/>
    <x v="0"/>
    <x v="1"/>
    <n v="2"/>
    <n v="1"/>
    <n v="0"/>
    <n v="0"/>
    <m/>
  </r>
  <r>
    <s v="Beth'oit"/>
    <s v="3 - "/>
    <n v="3"/>
    <m/>
    <s v="10 - "/>
    <n v="10"/>
    <m/>
    <s v="12 - "/>
    <n v="12"/>
    <m/>
    <n v="25"/>
    <n v="0"/>
    <n v="0"/>
    <x v="2"/>
    <s v="Loyal bon"/>
    <x v="0"/>
    <x v="2"/>
    <n v="2"/>
    <n v="1"/>
    <n v="0"/>
    <n v="0"/>
    <m/>
  </r>
  <r>
    <s v="Shelfine"/>
    <s v="5 - "/>
    <n v="5"/>
    <m/>
    <s v="12 - "/>
    <n v="12"/>
    <m/>
    <s v="5 - "/>
    <n v="5"/>
    <m/>
    <n v="22"/>
    <n v="0"/>
    <n v="0"/>
    <x v="3"/>
    <s v="Chaotique bon"/>
    <x v="0"/>
    <x v="1"/>
    <n v="2"/>
    <n v="1"/>
    <n v="0"/>
    <n v="0"/>
    <m/>
  </r>
  <r>
    <s v="Ka Bii"/>
    <s v="3 - "/>
    <n v="3"/>
    <m/>
    <s v="12 - "/>
    <n v="12"/>
    <m/>
    <s v="10 - "/>
    <n v="10"/>
    <m/>
    <n v="25"/>
    <n v="0"/>
    <n v="0"/>
    <x v="4"/>
    <s v="Loyal bon"/>
    <x v="0"/>
    <x v="2"/>
    <n v="2"/>
    <n v="1"/>
    <n v="0"/>
    <n v="0"/>
    <m/>
  </r>
  <r>
    <s v="Drinbuur"/>
    <s v="12 - "/>
    <n v="12"/>
    <m/>
    <s v="8 - "/>
    <n v="8"/>
    <m/>
    <s v="15 - "/>
    <n v="15"/>
    <m/>
    <n v="35"/>
    <n v="0"/>
    <n v="0"/>
    <x v="5"/>
    <s v="Neutre bon"/>
    <x v="0"/>
    <x v="0"/>
    <n v="2"/>
    <n v="1"/>
    <n v="0"/>
    <n v="0"/>
    <m/>
  </r>
  <r>
    <s v="Zaliax"/>
    <s v="10 - "/>
    <n v="10"/>
    <m/>
    <s v="0 - "/>
    <n v="0"/>
    <m/>
    <s v="10 - "/>
    <n v="10"/>
    <m/>
    <n v="20"/>
    <n v="0"/>
    <n v="0"/>
    <x v="0"/>
    <s v="Loyal mauvais"/>
    <x v="1"/>
    <x v="2"/>
    <n v="1"/>
    <n v="1"/>
    <n v="0"/>
    <n v="0"/>
    <m/>
  </r>
  <r>
    <s v="Doa Tua"/>
    <s v="8 - "/>
    <n v="8"/>
    <m/>
    <s v="0 - "/>
    <n v="0"/>
    <m/>
    <s v="15 - "/>
    <n v="15"/>
    <m/>
    <n v="23"/>
    <n v="0"/>
    <n v="0"/>
    <x v="2"/>
    <s v="Neutre mauvais"/>
    <x v="1"/>
    <x v="0"/>
    <n v="1"/>
    <n v="1"/>
    <n v="0"/>
    <n v="0"/>
    <m/>
  </r>
  <r>
    <s v="Goldreg"/>
    <s v="5 - "/>
    <n v="5"/>
    <m/>
    <s v="3 - "/>
    <n v="3"/>
    <m/>
    <s v="10 - "/>
    <n v="10"/>
    <m/>
    <n v="18"/>
    <n v="0"/>
    <n v="0"/>
    <x v="5"/>
    <s v="Loyal mauvais"/>
    <x v="1"/>
    <x v="2"/>
    <n v="1"/>
    <n v="1"/>
    <n v="0"/>
    <n v="0"/>
    <m/>
  </r>
  <r>
    <s v="Qua'faltar"/>
    <s v="10 - "/>
    <n v="10"/>
    <m/>
    <s v="8 - "/>
    <n v="8"/>
    <m/>
    <s v="12 - "/>
    <n v="12"/>
    <m/>
    <n v="30"/>
    <n v="0"/>
    <n v="0"/>
    <x v="5"/>
    <s v="Chaotique mauvais"/>
    <x v="1"/>
    <x v="1"/>
    <n v="2"/>
    <n v="1"/>
    <n v="0"/>
    <n v="0"/>
    <m/>
  </r>
  <r>
    <s v="Shlahog"/>
    <s v="15 - "/>
    <n v="15"/>
    <m/>
    <s v="8 - "/>
    <n v="8"/>
    <m/>
    <s v="10 - "/>
    <n v="10"/>
    <m/>
    <n v="33"/>
    <n v="0"/>
    <n v="0"/>
    <x v="0"/>
    <s v="Chaotique mauvais"/>
    <x v="1"/>
    <x v="1"/>
    <n v="2"/>
    <n v="1"/>
    <n v="0"/>
    <n v="0"/>
    <m/>
  </r>
  <r>
    <s v="Urdi'rik"/>
    <s v="10 - "/>
    <n v="10"/>
    <m/>
    <s v="8 - "/>
    <n v="8"/>
    <m/>
    <s v="5 - "/>
    <n v="5"/>
    <m/>
    <n v="23"/>
    <n v="0"/>
    <n v="0"/>
    <x v="6"/>
    <s v="Loyal mauvais"/>
    <x v="1"/>
    <x v="2"/>
    <n v="2"/>
    <n v="1"/>
    <n v="0"/>
    <n v="0"/>
    <m/>
  </r>
  <r>
    <s v="Asnol"/>
    <s v="3 - "/>
    <n v="3"/>
    <m/>
    <s v="8 - "/>
    <n v="8"/>
    <m/>
    <s v="12 - "/>
    <n v="12"/>
    <m/>
    <n v="23"/>
    <n v="0"/>
    <n v="0"/>
    <x v="3"/>
    <s v="Neutre mauvais"/>
    <x v="1"/>
    <x v="0"/>
    <n v="2"/>
    <n v="1"/>
    <n v="0"/>
    <n v="0"/>
    <m/>
  </r>
  <r>
    <s v="Promolide"/>
    <s v="15 - "/>
    <n v="15"/>
    <m/>
    <s v="10 - "/>
    <n v="10"/>
    <m/>
    <s v="10 - "/>
    <n v="10"/>
    <m/>
    <n v="35"/>
    <n v="0"/>
    <n v="0"/>
    <x v="6"/>
    <s v="Chaotique mauvais"/>
    <x v="1"/>
    <x v="1"/>
    <n v="2"/>
    <n v="1"/>
    <n v="0"/>
    <n v="0"/>
    <m/>
  </r>
  <r>
    <s v="Kronian"/>
    <s v="3 - "/>
    <n v="3"/>
    <m/>
    <s v="10 - "/>
    <n v="10"/>
    <m/>
    <s v="15 - "/>
    <n v="15"/>
    <m/>
    <n v="28"/>
    <n v="0"/>
    <n v="0"/>
    <x v="5"/>
    <s v="Neutre mauvais"/>
    <x v="1"/>
    <x v="0"/>
    <n v="2"/>
    <n v="1"/>
    <n v="0"/>
    <n v="0"/>
    <m/>
  </r>
  <r>
    <s v="Othompa"/>
    <s v="8 - "/>
    <n v="8"/>
    <m/>
    <s v="10 - "/>
    <n v="10"/>
    <m/>
    <s v="12 - "/>
    <n v="12"/>
    <m/>
    <n v="30"/>
    <n v="0"/>
    <n v="0"/>
    <x v="5"/>
    <s v="Neutre mauvais"/>
    <x v="1"/>
    <x v="0"/>
    <n v="2"/>
    <n v="1"/>
    <n v="0"/>
    <n v="0"/>
    <m/>
  </r>
  <r>
    <s v="Mul'dekar"/>
    <s v="8 - "/>
    <n v="8"/>
    <m/>
    <s v="12 - "/>
    <n v="12"/>
    <m/>
    <s v="10 - "/>
    <n v="10"/>
    <m/>
    <n v="30"/>
    <n v="0"/>
    <n v="0"/>
    <x v="4"/>
    <s v="Neutre mauvais"/>
    <x v="1"/>
    <x v="0"/>
    <n v="2"/>
    <n v="1"/>
    <n v="0"/>
    <n v="0"/>
    <m/>
  </r>
  <r>
    <s v="Lonidae"/>
    <s v="3 - "/>
    <n v="3"/>
    <m/>
    <s v="15 - "/>
    <n v="15"/>
    <m/>
    <s v="10 - "/>
    <n v="10"/>
    <m/>
    <n v="28"/>
    <n v="0"/>
    <n v="0"/>
    <x v="3"/>
    <s v="Chaotique mauvais"/>
    <x v="1"/>
    <x v="1"/>
    <n v="2"/>
    <n v="1"/>
    <n v="0"/>
    <n v="0"/>
    <m/>
  </r>
  <r>
    <s v="Thymeïr"/>
    <s v="15 - "/>
    <n v="15"/>
    <m/>
    <s v="3 - "/>
    <n v="3"/>
    <m/>
    <s v="10 - "/>
    <n v="10"/>
    <m/>
    <n v="28"/>
    <n v="0"/>
    <n v="0"/>
    <x v="0"/>
    <s v="Chaotique mauvais"/>
    <x v="1"/>
    <x v="1"/>
    <n v="1"/>
    <n v="1"/>
    <n v="0"/>
    <n v="0"/>
    <m/>
  </r>
  <r>
    <s v="Incabat"/>
    <s v="15 - "/>
    <n v="15"/>
    <m/>
    <s v="3 - "/>
    <n v="3"/>
    <m/>
    <s v="12 - "/>
    <n v="12"/>
    <m/>
    <n v="30"/>
    <n v="0"/>
    <n v="0"/>
    <x v="6"/>
    <s v="Neutre mauvais"/>
    <x v="1"/>
    <x v="0"/>
    <n v="1"/>
    <n v="1"/>
    <n v="0"/>
    <n v="0"/>
    <m/>
  </r>
  <r>
    <s v="Digride"/>
    <s v="10 - 20"/>
    <n v="10"/>
    <n v="20"/>
    <s v="8 - 20"/>
    <n v="8"/>
    <n v="20"/>
    <s v="12 - 25"/>
    <n v="12"/>
    <n v="25"/>
    <n v="30"/>
    <n v="65"/>
    <n v="35"/>
    <x v="1"/>
    <s v="Neutre mauvais"/>
    <x v="1"/>
    <x v="0"/>
    <n v="2"/>
    <n v="1"/>
    <n v="1"/>
    <n v="1"/>
    <m/>
  </r>
  <r>
    <s v="Jernius"/>
    <s v="5 - "/>
    <n v="5"/>
    <m/>
    <s v="5 - "/>
    <n v="5"/>
    <m/>
    <s v="5 - "/>
    <n v="5"/>
    <m/>
    <n v="15"/>
    <n v="0"/>
    <n v="0"/>
    <x v="4"/>
    <s v="Neutre"/>
    <x v="2"/>
    <x v="0"/>
    <n v="1"/>
    <n v="1"/>
    <n v="0"/>
    <n v="0"/>
    <s v="Exception, ne pas monter plus le mental"/>
  </r>
  <r>
    <s v="Calderan"/>
    <s v="5 - "/>
    <n v="5"/>
    <m/>
    <s v="8 - "/>
    <n v="8"/>
    <m/>
    <s v="5 - "/>
    <n v="5"/>
    <m/>
    <n v="18"/>
    <n v="0"/>
    <n v="0"/>
    <x v="3"/>
    <s v="Loyal neutre"/>
    <x v="2"/>
    <x v="2"/>
    <n v="2"/>
    <n v="1"/>
    <n v="0"/>
    <n v="0"/>
    <m/>
  </r>
  <r>
    <s v="Nigiak"/>
    <s v="3 - "/>
    <n v="3"/>
    <m/>
    <s v="8 - "/>
    <n v="8"/>
    <m/>
    <s v="8 - "/>
    <n v="8"/>
    <m/>
    <n v="19"/>
    <n v="0"/>
    <n v="0"/>
    <x v="2"/>
    <s v="Loyal neutre"/>
    <x v="2"/>
    <x v="2"/>
    <n v="2"/>
    <n v="1"/>
    <n v="0"/>
    <n v="0"/>
    <m/>
  </r>
  <r>
    <s v="Yinkovn"/>
    <s v="0 - "/>
    <n v="0"/>
    <m/>
    <s v="8 - "/>
    <n v="8"/>
    <m/>
    <s v="15 - "/>
    <n v="15"/>
    <m/>
    <n v="23"/>
    <n v="0"/>
    <n v="0"/>
    <x v="5"/>
    <s v="Neutre"/>
    <x v="2"/>
    <x v="0"/>
    <n v="2"/>
    <n v="1"/>
    <n v="0"/>
    <n v="0"/>
    <m/>
  </r>
  <r>
    <s v="Miador"/>
    <s v="8 - "/>
    <n v="8"/>
    <m/>
    <s v="10 - "/>
    <n v="10"/>
    <m/>
    <s v="0 - "/>
    <n v="0"/>
    <m/>
    <n v="18"/>
    <n v="0"/>
    <n v="0"/>
    <x v="1"/>
    <s v="Loyal neutre"/>
    <x v="2"/>
    <x v="2"/>
    <n v="2"/>
    <n v="1"/>
    <n v="0"/>
    <n v="0"/>
    <m/>
  </r>
  <r>
    <s v="Hashura"/>
    <s v="8 - "/>
    <n v="8"/>
    <m/>
    <s v="10 - "/>
    <n v="10"/>
    <m/>
    <s v="12 - "/>
    <n v="12"/>
    <m/>
    <n v="30"/>
    <n v="0"/>
    <n v="0"/>
    <x v="2"/>
    <s v="Neutre"/>
    <x v="2"/>
    <x v="0"/>
    <n v="2"/>
    <n v="1"/>
    <n v="0"/>
    <n v="0"/>
    <m/>
  </r>
  <r>
    <s v="Nyelis"/>
    <s v="5 - "/>
    <n v="5"/>
    <m/>
    <s v="10 - "/>
    <n v="10"/>
    <m/>
    <s v="5 - "/>
    <n v="5"/>
    <m/>
    <n v="20"/>
    <n v="0"/>
    <n v="0"/>
    <x v="4"/>
    <s v="Neutre"/>
    <x v="2"/>
    <x v="0"/>
    <n v="2"/>
    <n v="1"/>
    <n v="0"/>
    <n v="0"/>
    <m/>
  </r>
  <r>
    <s v="Onimee"/>
    <s v="12 - "/>
    <n v="12"/>
    <m/>
    <s v="0 - "/>
    <n v="0"/>
    <m/>
    <s v="8 - "/>
    <n v="8"/>
    <m/>
    <n v="20"/>
    <n v="0"/>
    <n v="0"/>
    <x v="1"/>
    <s v="Chaotique neutre"/>
    <x v="2"/>
    <x v="1"/>
    <n v="1"/>
    <n v="1"/>
    <n v="0"/>
    <n v="0"/>
    <m/>
  </r>
  <r>
    <s v="Zeniom"/>
    <s v="5 - "/>
    <n v="5"/>
    <m/>
    <s v="10 - "/>
    <n v="10"/>
    <m/>
    <s v="12 - "/>
    <n v="12"/>
    <m/>
    <n v="27"/>
    <n v="0"/>
    <n v="0"/>
    <x v="2"/>
    <s v="Chaotique neutre"/>
    <x v="2"/>
    <x v="1"/>
    <n v="2"/>
    <n v="1"/>
    <n v="0"/>
    <n v="0"/>
    <m/>
  </r>
  <r>
    <s v="Vadeaxil"/>
    <s v="15 - "/>
    <n v="15"/>
    <m/>
    <s v="12 - "/>
    <n v="12"/>
    <m/>
    <s v="0 - "/>
    <n v="0"/>
    <m/>
    <n v="27"/>
    <n v="0"/>
    <n v="0"/>
    <x v="0"/>
    <s v="Neutre"/>
    <x v="2"/>
    <x v="0"/>
    <n v="2"/>
    <n v="1"/>
    <n v="0"/>
    <n v="0"/>
    <m/>
  </r>
  <r>
    <s v="Kuelid"/>
    <s v="0 - "/>
    <n v="0"/>
    <m/>
    <s v="15 - "/>
    <n v="15"/>
    <m/>
    <s v="5 - "/>
    <n v="5"/>
    <m/>
    <n v="20"/>
    <n v="0"/>
    <n v="0"/>
    <x v="3"/>
    <s v="Loyal neutre"/>
    <x v="2"/>
    <x v="2"/>
    <n v="2"/>
    <n v="1"/>
    <n v="0"/>
    <n v="0"/>
    <m/>
  </r>
  <r>
    <s v="Franeline"/>
    <s v="10 - "/>
    <n v="10"/>
    <m/>
    <s v="12 - "/>
    <n v="12"/>
    <m/>
    <s v=" - "/>
    <m/>
    <m/>
    <n v="22"/>
    <n v="0"/>
    <n v="0"/>
    <x v="1"/>
    <s v="Neutre"/>
    <x v="2"/>
    <x v="0"/>
    <n v="2"/>
    <n v="1"/>
    <n v="0"/>
    <n v="0"/>
    <m/>
  </r>
  <r>
    <s v="Arsinam"/>
    <s v="15 - "/>
    <n v="15"/>
    <m/>
    <s v="5 - "/>
    <n v="5"/>
    <m/>
    <s v=" - "/>
    <m/>
    <m/>
    <n v="20"/>
    <n v="0"/>
    <n v="0"/>
    <x v="6"/>
    <s v="Chaotique neutre"/>
    <x v="2"/>
    <x v="1"/>
    <n v="1"/>
    <n v="1"/>
    <n v="0"/>
    <n v="0"/>
    <m/>
  </r>
  <r>
    <s v="Brukaur"/>
    <s v="15 - 30"/>
    <n v="15"/>
    <n v="30"/>
    <s v="3 - 10"/>
    <n v="3"/>
    <n v="10"/>
    <s v="8 - 20"/>
    <n v="8"/>
    <n v="20"/>
    <n v="26"/>
    <n v="60"/>
    <n v="34"/>
    <x v="6"/>
    <s v="Chaotique neutre"/>
    <x v="2"/>
    <x v="1"/>
    <n v="1"/>
    <n v="1"/>
    <n v="1"/>
    <n v="1"/>
    <m/>
  </r>
  <r>
    <s v="Anseilid"/>
    <s v="3 - 10"/>
    <n v="3"/>
    <n v="10"/>
    <s v="15 - 30"/>
    <n v="15"/>
    <n v="30"/>
    <s v="10 - 18"/>
    <n v="10"/>
    <n v="18"/>
    <n v="28"/>
    <n v="58"/>
    <n v="30"/>
    <x v="3"/>
    <s v="Chaotique neutre"/>
    <x v="2"/>
    <x v="1"/>
    <n v="2"/>
    <n v="1"/>
    <n v="1"/>
    <n v="1"/>
    <m/>
  </r>
</pivotCacheRecords>
</file>

<file path=xl/pivotCache/pivotCacheRecords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17">
  <r>
    <s v="Trait de feu"/>
    <x v="0"/>
    <x v="0"/>
    <x v="0"/>
    <n v="3"/>
    <s v="action"/>
    <n v="0"/>
    <s v="12 cases"/>
    <s v="Dégats"/>
    <x v="0"/>
    <s v="&gt;Faites un jet d'attaque avec la [[1. Entrainement#La dextérité|dextérité]]. Tire un faisceau de flamme, infligeant 2d8 dégâts de feu en touchant."/>
  </r>
  <r>
    <s v="Echauffement"/>
    <x v="0"/>
    <x v="1"/>
    <x v="0"/>
    <n v="2"/>
    <s v="action"/>
    <n v="0"/>
    <s v="3 cases"/>
    <s v="Buff"/>
    <x v="0"/>
    <s v="&gt;Chauffe à blanc une arme ou un projectile. Jusqu'au début de votre prochain tour, les coups portés avec l'objet infligent 1d6 dégâts supplémentaire. Les dégâts de l'arme deviennent des dégâts de feu."/>
  </r>
  <r>
    <s v="Projection bouillonnante"/>
    <x v="0"/>
    <x v="0"/>
    <x v="0"/>
    <n v="6"/>
    <s v="action"/>
    <n v="0"/>
    <s v="9 cases"/>
    <s v="Dégats"/>
    <x v="0"/>
    <s v="&gt;Lance un projectile de feu éclatant sur 3 cases de rayon. Chaque personne dans le rayon doit réussir un [[3. Résistance aux chocs#Le jet de résistance|jet de résistance]](d10/6 + mod. d'[[1. Entrainement#L'intelligence|intelligence]]) ou subit 2d8 dégâts de feu."/>
  </r>
  <r>
    <s v="Corps ardent"/>
    <x v="0"/>
    <x v="1"/>
    <x v="0"/>
    <n v="6"/>
    <s v="action"/>
    <n v="1"/>
    <s v="Personnel"/>
    <s v="Dégats"/>
    <x v="0"/>
    <s v="&gt;Pendant 5 tours, toute personne terminant son tour à une case de vous subit 1d10 dégâts de feu."/>
  </r>
  <r>
    <s v="Gravure marquante"/>
    <x v="0"/>
    <x v="1"/>
    <x v="0"/>
    <n v="3"/>
    <s v="10 minutes"/>
    <n v="0"/>
    <s v="Toucher"/>
    <s v="Utilitaire"/>
    <x v="0"/>
    <s v="&gt; Grave une marque discrète sur un objet, restant durant 3 jours ou jusqu'à ce que quelqu'un rentre en contact avec la marque, auquel cas cette dernière lui sera gravée avec une désagréable sensation de brulure. La brulure disparait après 3 jours."/>
  </r>
  <r>
    <m/>
    <x v="0"/>
    <x v="2"/>
    <x v="0"/>
    <m/>
    <s v="reaction"/>
    <n v="0"/>
    <m/>
    <s v="Support"/>
    <x v="1"/>
    <m/>
  </r>
  <r>
    <s v="Protection supérieure"/>
    <x v="0"/>
    <x v="2"/>
    <x v="1"/>
    <n v="3"/>
    <s v="reaction"/>
    <n v="0"/>
    <s v="Personnel"/>
    <s v="Tank"/>
    <x v="0"/>
    <s v="&gt;Votre armure subit l'intégralité des dégâts sur le prochain coup."/>
  </r>
  <r>
    <s v="Lames de glace"/>
    <x v="0"/>
    <x v="0"/>
    <x v="1"/>
    <n v="3"/>
    <s v="action"/>
    <n v="0"/>
    <s v="12 cases"/>
    <s v="Dégats"/>
    <x v="0"/>
    <s v="&gt;Faites un jet d'attaque avec la [[1. Entrainement#La dextérité|dextérité]] en touchant. Tire 2 projectiles infligeant 1d8 dégâts de glace. *Augmenter les dés de dégâts offre un projectile supplémentaire à la place. Chaque projectile demande un jet d'attaque séparé et peut viser une cible différente.*"/>
  </r>
  <r>
    <m/>
    <x v="0"/>
    <x v="1"/>
    <x v="1"/>
    <m/>
    <s v="action"/>
    <n v="0"/>
    <m/>
    <s v="Mouvement"/>
    <x v="1"/>
    <m/>
  </r>
  <r>
    <m/>
    <x v="0"/>
    <x v="1"/>
    <x v="1"/>
    <m/>
    <s v="action"/>
    <n v="1"/>
    <m/>
    <s v="Utilitaire"/>
    <x v="1"/>
    <m/>
  </r>
  <r>
    <m/>
    <x v="0"/>
    <x v="2"/>
    <x v="1"/>
    <m/>
    <s v="action"/>
    <n v="0"/>
    <m/>
    <s v="Buff"/>
    <x v="1"/>
    <m/>
  </r>
  <r>
    <m/>
    <x v="0"/>
    <x v="0"/>
    <x v="1"/>
    <m/>
    <s v="action"/>
    <n v="0"/>
    <m/>
    <s v="Dégats"/>
    <x v="1"/>
    <m/>
  </r>
  <r>
    <s v="Chaine de foudre"/>
    <x v="0"/>
    <x v="0"/>
    <x v="2"/>
    <n v="3"/>
    <s v="action"/>
    <n v="0"/>
    <s v="12 cases"/>
    <s v="Dégats"/>
    <x v="0"/>
    <s v="&gt;Faites un jet d'attaque avec la [[1. Entrainement#Dextérité|dextérité]]. Frappe une cible visible puis rebondit sur jusqu'à 2 autres cibles. Inflige 1d8[[2. Glossaire#Jet explosif|!]] dégâts de foudre."/>
  </r>
  <r>
    <s v="Vitesse lumière"/>
    <x v="0"/>
    <x v="1"/>
    <x v="2"/>
    <n v="2"/>
    <s v="action"/>
    <n v="0"/>
    <s v="Personnel"/>
    <s v="Mouvement"/>
    <x v="0"/>
    <s v="&gt;Se téléporte à 6 cases tant que vous pouvez voir et courir vers la destination."/>
  </r>
  <r>
    <s v="Décharge de foudre"/>
    <x v="0"/>
    <x v="0"/>
    <x v="2"/>
    <n v="3"/>
    <s v="action"/>
    <n v="0"/>
    <s v="12 cases"/>
    <s v="Dégats"/>
    <x v="0"/>
    <s v="&gt;Faites un jet d'attaque avec la [[1. Entrainement#La dextérité|dextérité]]. Tire une décharge foudroyante d'énergie, infligeant 4d4[[2. Glossaire#Jet explosif|!]] dégâts de foudre."/>
  </r>
  <r>
    <m/>
    <x v="0"/>
    <x v="2"/>
    <x v="2"/>
    <m/>
    <s v="action"/>
    <n v="0"/>
    <m/>
    <s v="Debuff"/>
    <x v="1"/>
    <m/>
  </r>
  <r>
    <m/>
    <x v="0"/>
    <x v="2"/>
    <x v="2"/>
    <m/>
    <s v="reaction"/>
    <n v="0"/>
    <m/>
    <s v="Mouvement"/>
    <x v="1"/>
    <m/>
  </r>
  <r>
    <m/>
    <x v="0"/>
    <x v="2"/>
    <x v="2"/>
    <m/>
    <s v="action"/>
    <n v="0"/>
    <m/>
    <s v="Dégats"/>
    <x v="1"/>
    <m/>
  </r>
  <r>
    <s v="No name"/>
    <x v="0"/>
    <x v="0"/>
    <x v="3"/>
    <n v="2"/>
    <s v="action"/>
    <n v="0"/>
    <s v="6 cases"/>
    <s v="Dégats"/>
    <x v="0"/>
    <s v="&gt;Faites un jet d'attaque avec la [[1. Entrainement#La dextérité|dextérité]]. Un pilier de matière est extirpé du sol pour aller frapper la cible, qui est alors déplacée d'une case. Si la cible est propulsée contre un mur, elle subit alors 3d12 dégâts contondant."/>
  </r>
  <r>
    <s v="No name"/>
    <x v="0"/>
    <x v="0"/>
    <x v="3"/>
    <n v="3"/>
    <s v="action"/>
    <n v="0"/>
    <s v="6 cases"/>
    <s v="Debuff"/>
    <x v="0"/>
    <s v="&gt;Faites un jet d'attaque avec la [[1. Entrainement#La dextérité|dextérité]]. Propulse un projectile de matière sur la cible, infligeant 1d12 dégâts contondant en touchant, ainsi qu'un [[3. Résistance aux chocs#Le jet de résistance|jet de résistance]] (d10/5 + mod. d'[[1. Entrainement#L'intelligence|intelligence]]) à l'[[2. Liste des effets#L'hébètement|hébètement]]."/>
  </r>
  <r>
    <s v="Bouclier tortue"/>
    <x v="0"/>
    <x v="1"/>
    <x v="3"/>
    <n v="3"/>
    <s v="action"/>
    <n v="1"/>
    <s v="Personnel"/>
    <s v="Tank"/>
    <x v="0"/>
    <s v="&gt;Durant 1 minute, vous gagnez un bonus de 2 au blocage, mais subissez également un malus de 2 à l'esquive et perdez 2 cases de vitesse de course."/>
  </r>
  <r>
    <s v="No name"/>
    <x v="0"/>
    <x v="2"/>
    <x v="3"/>
    <n v="3"/>
    <s v="reaction"/>
    <n v="0"/>
    <s v="Personnel"/>
    <s v="Tank"/>
    <x v="0"/>
    <s v="&gt; Vous gagnez une résistance aux dégâts physiques jusqu'au début de votre prochain tour."/>
  </r>
  <r>
    <m/>
    <x v="0"/>
    <x v="1"/>
    <x v="3"/>
    <m/>
    <s v="action"/>
    <n v="0"/>
    <m/>
    <s v="Support"/>
    <x v="1"/>
    <m/>
  </r>
  <r>
    <s v="Rafistolage"/>
    <x v="0"/>
    <x v="1"/>
    <x v="3"/>
    <m/>
    <s v="action"/>
    <n v="0"/>
    <s v="Toucher"/>
    <s v="Utilitaire"/>
    <x v="0"/>
    <s v="&gt;Vous rafistolez sommairement une armure abimée, lui faisant récupérer 2d10 point de vie pour 4 mana. Vous ne pouvez la réparer que 2 fois avec ce sort avant de devoir la réparer avec des procédés non magique. Cependant, certaines armures magiques ne peuvent être réparer qu'avec ce sort."/>
  </r>
  <r>
    <s v="Enchantement mineur"/>
    <x v="0"/>
    <x v="1"/>
    <x v="4"/>
    <n v="2"/>
    <s v="action"/>
    <n v="0"/>
    <s v="Personnel"/>
    <s v="Buff"/>
    <x v="0"/>
    <s v="&gt; Condense de l'énergie magique dans une arme ou un projectile sur vous. Vous faites une attaque immédiatement après avoir lancé ce sort sans dépenser d'action, infligeant 1d8 dégâts supplémentaire. Les dégâts de l'arme deviennent magique."/>
  </r>
  <r>
    <s v="Rupture de force"/>
    <x v="0"/>
    <x v="1"/>
    <x v="4"/>
    <n v="5"/>
    <s v="action"/>
    <n v="0"/>
    <s v="6 cases"/>
    <s v="Dégats"/>
    <x v="0"/>
    <s v="&gt; Faites un jet d'attaque avec l'[[1. Entrainement#L'intelligence|intelligence]]. Vous condensez une puissante énergie magique qui est propulsée directement sur votre cible. Vous lancez 2d20 et prenez le plus haut résultat pour infliger des dégâts magique. *Avoir un [[2. Glossaire#Avantage et désavantage|avantage]] **aux dégâts** permet de lancer un autre d20.* *Augmenter les dégâts de ce sort permet d'infliger 5 dégâts magique supplémentaire.*"/>
  </r>
  <r>
    <s v="Essence magique"/>
    <x v="0"/>
    <x v="1"/>
    <x v="4"/>
    <n v="2"/>
    <s v="action"/>
    <n v="0"/>
    <s v="Toucher"/>
    <s v="Utilitaire"/>
    <x v="0"/>
    <s v="&gt;Vous êtes capable d'identifier toutes les composantes d'un sort, d'un enchantement ou d'un objet magique. "/>
  </r>
  <r>
    <m/>
    <x v="0"/>
    <x v="2"/>
    <x v="4"/>
    <m/>
    <s v="action"/>
    <n v="0"/>
    <m/>
    <s v="Buff"/>
    <x v="1"/>
    <m/>
  </r>
  <r>
    <s v="Vision arcanique"/>
    <x v="0"/>
    <x v="1"/>
    <x v="4"/>
    <n v="3"/>
    <s v="action"/>
    <n v="1"/>
    <s v="Personnel"/>
    <s v="Utilitaire"/>
    <x v="0"/>
    <s v="&gt;Pendant 10 minutes, vous pouvez percevoir toute trace de magie sous forme de tache bleutée laissant une faible persistance sur votre rétine. "/>
  </r>
  <r>
    <m/>
    <x v="0"/>
    <x v="0"/>
    <x v="4"/>
    <m/>
    <s v="action"/>
    <n v="0"/>
    <m/>
    <s v="Utilitaire"/>
    <x v="1"/>
    <m/>
  </r>
  <r>
    <m/>
    <x v="0"/>
    <x v="1"/>
    <x v="4"/>
    <m/>
    <s v="action"/>
    <n v="0"/>
    <m/>
    <s v="Support"/>
    <x v="1"/>
    <m/>
  </r>
  <r>
    <s v="Foulée aérienne"/>
    <x v="0"/>
    <x v="1"/>
    <x v="5"/>
    <n v="3"/>
    <s v="action"/>
    <n v="0"/>
    <s v="12 cases"/>
    <s v="Buff"/>
    <x v="0"/>
    <s v="&gt;La vitesse de course de votre cible augmente de 2 cases pendant 1 minute. Elle gagne également un bonus de +1 à l'esquive."/>
  </r>
  <r>
    <s v="Pression forcée"/>
    <x v="0"/>
    <x v="0"/>
    <x v="5"/>
    <n v="5"/>
    <s v="action"/>
    <n v="0"/>
    <s v="18 cases"/>
    <s v="Mouvement"/>
    <x v="0"/>
    <s v="&gt;Crée une imposante colonne d'air descendent de 3 cases de rayon sur 12 cases de haut à 18 cases de vous. Les créatures à l'intérieur ont un malus de 1 à l'esquive. Les créatures volantes chutent de 3 cases par tour. Dure 5 tours."/>
  </r>
  <r>
    <s v="Poids plume"/>
    <x v="0"/>
    <x v="1"/>
    <x v="5"/>
    <n v="2"/>
    <s v="action"/>
    <n v="1"/>
    <s v="Toucher"/>
    <s v="Utilitaire"/>
    <x v="0"/>
    <s v="&gt;Réduit le poids d'un objet à un dixième de son poids d'origine pendant 1 minute. Fonctionne sur des objets inertes allant jusqu'à 500kg. "/>
  </r>
  <r>
    <m/>
    <x v="0"/>
    <x v="0"/>
    <x v="5"/>
    <m/>
    <s v="action"/>
    <n v="0"/>
    <m/>
    <s v="Buff"/>
    <x v="1"/>
    <m/>
  </r>
  <r>
    <m/>
    <x v="0"/>
    <x v="0"/>
    <x v="5"/>
    <m/>
    <s v="action"/>
    <n v="0"/>
    <m/>
    <s v="Dégats"/>
    <x v="1"/>
    <m/>
  </r>
  <r>
    <m/>
    <x v="0"/>
    <x v="2"/>
    <x v="5"/>
    <m/>
    <s v="action"/>
    <n v="0"/>
    <m/>
    <s v="Support"/>
    <x v="1"/>
    <m/>
  </r>
  <r>
    <s v="Conservation"/>
    <x v="0"/>
    <x v="1"/>
    <x v="6"/>
    <n v="2"/>
    <s v="1 minute"/>
    <n v="0"/>
    <s v="Toucher"/>
    <s v="Utilitaire"/>
    <x v="0"/>
    <s v="&gt;Permet à jusqu'à 5 herbes ou préparations médicinales de se conserver 1 jour de plus. *Ne peux être utilisé qu'une seule fois par herbe/préparation.*"/>
  </r>
  <r>
    <s v="No name"/>
    <x v="0"/>
    <x v="2"/>
    <x v="6"/>
    <n v="3"/>
    <s v="action"/>
    <n v="0"/>
    <s v="Toucher"/>
    <s v="Support"/>
    <x v="0"/>
    <s v="&gt; Vous récupérez un point de fatigue temporaire de la cible que vous touchez."/>
  </r>
  <r>
    <s v="No name"/>
    <x v="0"/>
    <x v="0"/>
    <x v="6"/>
    <n v="3"/>
    <s v="action"/>
    <n v="0"/>
    <s v="9 cases"/>
    <s v="Dégats"/>
    <x v="0"/>
    <s v="&gt;Faites un jet d'attaque avec la [[1. Entrainement#La dextérité|dextérité]]. Inflige 2d8+2 dégâts magique à l'armure de la cible."/>
  </r>
  <r>
    <m/>
    <x v="0"/>
    <x v="1"/>
    <x v="6"/>
    <m/>
    <m/>
    <n v="0"/>
    <m/>
    <s v="Support"/>
    <x v="1"/>
    <m/>
  </r>
  <r>
    <s v="Absorption radieuse"/>
    <x v="0"/>
    <x v="1"/>
    <x v="7"/>
    <n v="3"/>
    <s v="action"/>
    <n v="1"/>
    <s v="9 cases"/>
    <s v="Support"/>
    <x v="0"/>
    <s v="&gt; Absorbe la lumière d'une zone de 4 cases de rayon, la faisant apparaitre comme plus sombre durant 1 minute. "/>
  </r>
  <r>
    <s v="Orbe de lumière"/>
    <x v="0"/>
    <x v="1"/>
    <x v="7"/>
    <n v="2"/>
    <s v="action"/>
    <n v="0"/>
    <s v="6 cases"/>
    <s v="Utilitaire"/>
    <x v="0"/>
    <s v="&gt; Fait apparaitre une boule de lumière immatérielle illuminant d'une lumière visible à 12 cases. Peut être bougée de 6 cases avec une action libre."/>
  </r>
  <r>
    <s v="Pas des ombres"/>
    <x v="0"/>
    <x v="2"/>
    <x v="7"/>
    <n v="4"/>
    <s v="action"/>
    <n v="0"/>
    <s v="Personnel"/>
    <s v="Mouvement"/>
    <x v="0"/>
    <s v="&gt; Si vous êtes dans une zone de noir total, vous pouvez vous téléporter dans n'importe quelle autre zone de noir total à 9 cases."/>
  </r>
  <r>
    <m/>
    <x v="0"/>
    <x v="0"/>
    <x v="7"/>
    <m/>
    <m/>
    <n v="0"/>
    <m/>
    <s v="Debuff"/>
    <x v="1"/>
    <m/>
  </r>
  <r>
    <s v="No name"/>
    <x v="0"/>
    <x v="2"/>
    <x v="8"/>
    <n v="6"/>
    <s v="action"/>
    <n v="0"/>
    <s v="3 cases"/>
    <s v="Debuff"/>
    <x v="0"/>
    <s v="&gt;Envenime l'esprit de la cible, brouillant sa perception de la réalité et lui faisant voir des images subliminales de chaos. La cible fait un [[3. Résistance aux chocs#Le jet de résistance|jet de résistance]] (d8/4 + mod. de psyché) à la [[2. Liste des effets#Apeuré|peur]]."/>
  </r>
  <r>
    <m/>
    <x v="0"/>
    <x v="2"/>
    <x v="8"/>
    <m/>
    <m/>
    <n v="0"/>
    <m/>
    <s v="Dégats"/>
    <x v="1"/>
    <m/>
  </r>
  <r>
    <m/>
    <x v="0"/>
    <x v="1"/>
    <x v="8"/>
    <m/>
    <m/>
    <n v="1"/>
    <m/>
    <s v="Debuff"/>
    <x v="1"/>
    <m/>
  </r>
  <r>
    <s v="Boule de feu"/>
    <x v="1"/>
    <x v="0"/>
    <x v="0"/>
    <n v="8"/>
    <s v="action"/>
    <n v="0"/>
    <s v="18 cases"/>
    <s v="Dégats"/>
    <x v="0"/>
    <s v="&gt;Lance une boule de feu éclatant sur 4 cases de rayon. Chaque personne dans le rayon doit faire un [[3. Résistance aux chocs#Le jet de résistance|jet de résistance]] (d10/6 + mod. d'[[1. Entrainement#L'intelligence|intelligence]]) aux [[1. Magie#Les sorts de précision|sorts de précision]] ou subit 4d10 dégâts de [[4. Les types de dégâts#Feu|feu]]."/>
  </r>
  <r>
    <s v="No name"/>
    <x v="1"/>
    <x v="1"/>
    <x v="0"/>
    <n v="6"/>
    <s v="action"/>
    <n v="1"/>
    <s v="Personnel"/>
    <s v="Dégats"/>
    <x v="0"/>
    <s v="&gt;Vous vous entourez d'un manteau de flamme pendant 1 minute. Tant que vous maintenez les flammes, vous subissez 1d4 dégâts de [[4. Les types de dégâts#Feu|feu]] et avez une [[1. Combat#Résistances et vulnérabilités|résistance]] aux dégâts de [[4. Les types de dégâts#Glace|glace]]. En un point d'action, vous pouvez mettre fin au sort en expulsant les flammes à 2 cases de vous, imposant un jet de résistance aux [[1. Magie#Les sorts de savoir|sorts de savoir]] (d4/3 + mod. d'[[1. Entrainement#L'intelligence|intelligence]]) à toute personne dans la zone qui subissent alors 2d10 de dégâts de [[4. Les types de dégâts#Feu|feu]] en cas d'échec."/>
  </r>
  <r>
    <m/>
    <x v="1"/>
    <x v="3"/>
    <x v="0"/>
    <m/>
    <m/>
    <n v="0"/>
    <m/>
    <s v="Debuff"/>
    <x v="1"/>
    <m/>
  </r>
  <r>
    <m/>
    <x v="1"/>
    <x v="3"/>
    <x v="0"/>
    <m/>
    <m/>
    <n v="0"/>
    <m/>
    <s v="Utilitaire"/>
    <x v="1"/>
    <m/>
  </r>
  <r>
    <m/>
    <x v="1"/>
    <x v="3"/>
    <x v="0"/>
    <m/>
    <m/>
    <n v="0"/>
    <m/>
    <s v="Support"/>
    <x v="1"/>
    <m/>
  </r>
  <r>
    <s v="Lance de givre"/>
    <x v="1"/>
    <x v="1"/>
    <x v="1"/>
    <n v="3"/>
    <s v="action"/>
    <n v="0"/>
    <s v="Toucher"/>
    <s v="Buff"/>
    <x v="0"/>
    <s v="&gt;Une lame de glace vient grandir le long d'une arme que vous touchez. Augmente la portée de l'arme d'une case. L'extension inflige des dégâts tranchants. Dure 1 min, casse après 8 coups **réussis**."/>
  </r>
  <r>
    <s v="Cône de givre"/>
    <x v="1"/>
    <x v="0"/>
    <x v="1"/>
    <n v="8"/>
    <s v="action"/>
    <n v="0"/>
    <s v="12 cases"/>
    <s v="Dégats"/>
    <x v="0"/>
    <s v="&gt; Vous faites s'abattre un cône de givre sur vos cible. Chaque personne dans un cône de 6 cases (60°) doit réussir un [[3. Résistance aux chocs#Le jet de résistance|jet de résistance]] (d10/6 + mod. d'[[1. Entrainement#L'intelligence|intelligence]]) aux [[1. Magie#Les sorts de précision|sorts de précision]] ou subit 5d8 dégâts de [[4. Les types de dégâts#Glace|glace]]."/>
  </r>
  <r>
    <s v="No name"/>
    <x v="1"/>
    <x v="2"/>
    <x v="1"/>
    <n v="5"/>
    <s v="action"/>
    <n v="0"/>
    <s v="3 cases"/>
    <s v="Debuff"/>
    <x v="1"/>
    <s v="&gt;Vous tentez de geler les jambes de votre cible. La cible doit faire un jet de résistance (d8/5 + mod. de [[1. Entrainement#La psyché|psyché]]) aux [[1. Magie#Les sorts instinctif|sorts d'instinct]] ou est [[2. Liste des effets#Agrippé|agrippée]] durant 3 tours. Vous ne pouvez pas vous déplacer malgré la contrainte."/>
  </r>
  <r>
    <m/>
    <x v="1"/>
    <x v="3"/>
    <x v="1"/>
    <m/>
    <m/>
    <n v="0"/>
    <m/>
    <s v="Tank"/>
    <x v="1"/>
    <m/>
  </r>
  <r>
    <s v="Piège de cristal"/>
    <x v="1"/>
    <x v="1"/>
    <x v="1"/>
    <n v="6"/>
    <s v="action"/>
    <n v="0"/>
    <s v="12 cases"/>
    <s v="Dégats"/>
    <x v="0"/>
    <s v="&gt;Vous placez une mine de glace sur une case inoccupée. Lorsqu'elle subit le moindre dégât, elle explose sur 2 cases et inflige 3d6 de dégâts [[4. Les types de dégâts#Perçant|perçant]]. Si un personnage marche dessus, il subit 4d8 de dégâts [[4. Les types de dégâts#Perçant|perçant]] à la place."/>
  </r>
  <r>
    <s v="Téléportation"/>
    <x v="1"/>
    <x v="2"/>
    <x v="2"/>
    <n v="4"/>
    <s v="action"/>
    <n v="0"/>
    <s v="Personnel"/>
    <s v="Mouvement"/>
    <x v="0"/>
    <s v="&gt;Se téléporte à un point visible à 9 cases max."/>
  </r>
  <r>
    <s v="Foudroiement"/>
    <x v="1"/>
    <x v="0"/>
    <x v="2"/>
    <n v="8"/>
    <s v="action"/>
    <n v="0"/>
    <s v="Personnel"/>
    <s v="Dégats"/>
    <x v="0"/>
    <s v="&gt; Tire un trait de foudre vrombissant sur 12 cases en partant de votre position. Chaque personne sur la ligne doit faire un [[3. Résistance aux chocs#Le jet de résistance|jet de résistance]] (d10/6 + mod. d'[[1. Entrainement#L'intelligence|intelligence]]) aux [[1. Magie#Les sorts de précision|sorts de précision]] ou subit 10d4! dégâts de foudre."/>
  </r>
  <r>
    <m/>
    <x v="1"/>
    <x v="3"/>
    <x v="2"/>
    <m/>
    <m/>
    <n v="0"/>
    <m/>
    <s v="Buff"/>
    <x v="1"/>
    <m/>
  </r>
  <r>
    <m/>
    <x v="1"/>
    <x v="3"/>
    <x v="2"/>
    <m/>
    <m/>
    <n v="0"/>
    <m/>
    <s v="Debuff"/>
    <x v="1"/>
    <m/>
  </r>
  <r>
    <m/>
    <x v="1"/>
    <x v="3"/>
    <x v="2"/>
    <m/>
    <m/>
    <n v="0"/>
    <m/>
    <s v="Dégats"/>
    <x v="1"/>
    <m/>
  </r>
  <r>
    <s v="No name"/>
    <x v="1"/>
    <x v="1"/>
    <x v="3"/>
    <n v="5"/>
    <s v="action"/>
    <n v="1"/>
    <s v="6 cases"/>
    <s v="Support"/>
    <x v="0"/>
    <s v="&gt; Fait apparaitre une myriade de petites pierres flottantes qui forment une ligne de 6 cases de long pour 3 lignes de haut. Tout le monde peut passer au travers mais les projectiles et sorts de précisions qui le traversent voit leur dé de dégâts réduit de 1 niveau. %% Important, pas de limite de durée %%"/>
  </r>
  <r>
    <s v="No name"/>
    <x v="1"/>
    <x v="0"/>
    <x v="3"/>
    <n v="4"/>
    <s v="action"/>
    <n v="0"/>
    <s v="Personnel"/>
    <s v="Buff"/>
    <x v="0"/>
    <s v="&gt; Durant 1 minute, vos [[4. Équipement#Les armes naturelles|armes naturelles]] se recouvrent de roches, infligeant des dégâts supplémentaires égal à votre mod. d'intelligence. A chaque coup porté (réussi comme raté), les dégâts décroient d'un point jusqu'à arrivée à 0."/>
  </r>
  <r>
    <m/>
    <x v="1"/>
    <x v="3"/>
    <x v="3"/>
    <m/>
    <m/>
    <n v="0"/>
    <m/>
    <s v="Dégats"/>
    <x v="1"/>
    <m/>
  </r>
  <r>
    <m/>
    <x v="1"/>
    <x v="3"/>
    <x v="3"/>
    <m/>
    <m/>
    <n v="0"/>
    <m/>
    <m/>
    <x v="1"/>
    <m/>
  </r>
  <r>
    <m/>
    <x v="1"/>
    <x v="3"/>
    <x v="3"/>
    <m/>
    <m/>
    <n v="0"/>
    <m/>
    <m/>
    <x v="1"/>
    <m/>
  </r>
  <r>
    <s v="No name"/>
    <x v="1"/>
    <x v="2"/>
    <x v="4"/>
    <n v="5"/>
    <s v="action"/>
    <n v="0"/>
    <s v="6 cases"/>
    <s v="Debuff"/>
    <x v="0"/>
    <s v="&gt; Votre cible doit faire un [[3. Résistance aux chocs#Le jet de résistance|jet de résistance]] (d4/3 + mod. d'[[1. Entrainement#L'intelligence|intelligence]]) à l'[[2. Liste des effets#Influencé|influence]]. En cas d'échec, elle perds 2d4[[2. Glossaire#Jet explosif|!]] mana."/>
  </r>
  <r>
    <m/>
    <x v="1"/>
    <x v="0"/>
    <x v="4"/>
    <m/>
    <m/>
    <n v="0"/>
    <m/>
    <m/>
    <x v="2"/>
    <m/>
  </r>
  <r>
    <s v="Enchantement dense"/>
    <x v="1"/>
    <x v="1"/>
    <x v="4"/>
    <n v="3"/>
    <s v="action"/>
    <n v="0"/>
    <s v="Personnel"/>
    <s v="Buff"/>
    <x v="0"/>
    <s v="&gt; Condense de l'énergie magique dans toutes les arme ou projectiles sur vous. Vous faites une attaque immédiatement après avoir lancé ce sort sans dépenser d'action, avec chaque arme infligeant 1d8 dégâts supplémentaire. Les dégâts de l'arme deviennent magique."/>
  </r>
  <r>
    <s v="Enchantement tenace"/>
    <x v="1"/>
    <x v="1"/>
    <x v="4"/>
    <n v="4"/>
    <s v="action"/>
    <n v="0"/>
    <s v="Personnel"/>
    <s v="Buff"/>
    <x v="0"/>
    <s v="&gt; Condense de l'énergie magique dans une arme sur vous *jusqu'à la fin de votre prochain tour*. Vous faites une attaque immédiatement après avoir lancé ce sort sans dépenser d'action, infligeant 1d8 dégâts supplémentaire. Les dégâts de l'arme deviennent magique."/>
  </r>
  <r>
    <m/>
    <x v="1"/>
    <x v="3"/>
    <x v="4"/>
    <m/>
    <m/>
    <n v="0"/>
    <m/>
    <s v="Dégats"/>
    <x v="1"/>
    <m/>
  </r>
  <r>
    <s v="No name"/>
    <x v="1"/>
    <x v="1"/>
    <x v="5"/>
    <n v="7"/>
    <s v="action"/>
    <n v="1"/>
    <s v="9 cases"/>
    <s v="Debuff"/>
    <x v="0"/>
    <s v="&gt; Vous générez un vent chaotique dans un cylindre de 4 cases de rayon sur 6 cases de hauteur pendant 1 minute. Toute personne dans la zone doit se déplacer une fois par tour pour contrebalancer les puissantes rafales ou subira un malus de -2 à ces jets (hors [[1. Magie#Les sorts instinctif|sort d'instinct]])."/>
  </r>
  <r>
    <s v="No name"/>
    <x v="1"/>
    <x v="0"/>
    <x v="5"/>
    <n v="4"/>
    <s v="action"/>
    <n v="0"/>
    <s v="3 cases"/>
    <s v="Buff"/>
    <x v="0"/>
    <s v="&gt; Vous bénissez temporairement un arc avec la magie des vents pour les 3 prochaines attaques. Les flèches tirée par cet arc ont une vélocité accrue, les portée sont doublée et vous avez un bonus de +2 pour toucher à moyenne distance."/>
  </r>
  <r>
    <s v="No name"/>
    <x v="1"/>
    <x v="0"/>
    <x v="5"/>
    <n v="5"/>
    <s v="action"/>
    <n v="0"/>
    <s v="18 cases"/>
    <s v="Mouvement"/>
    <x v="0"/>
    <s v="&gt; Choisissez une cible volante visible à portée. Votre cible doit faire un [[3. Résistance aux chocs#Le jet de résistance|jet de résistance]] (d10/6 + mod. de [[1. Entrainement#La dextérité|dextérité]]) aux [[1. Magie#Les sorts de précision|sorts de précision]]. En cas d'échec, elle voit sa vitesse de vol réduite de 12 cases."/>
  </r>
  <r>
    <s v="No name"/>
    <x v="1"/>
    <x v="2"/>
    <x v="5"/>
    <n v="4"/>
    <s v="reaction"/>
    <n v="0"/>
    <s v="Personnel"/>
    <s v="Tank"/>
    <x v="0"/>
    <s v="&gt;Vous pouvez lancer ce sort lorsque vous êtes ciblé par une attaque au corps à corps. Faites un jet de [[1. Magie#Les sorts instinctif|sort instinctif]], si vous faites un meilleur score que l'attaque de votre attaquant, vous lui faites rater son attaque. Cependant, si vous ne parvenez pas à bloquer son attaque, il gagne un niveau de dé de dégâts sur son attaque. %% À vérifier %%"/>
  </r>
  <r>
    <m/>
    <x v="1"/>
    <x v="3"/>
    <x v="5"/>
    <m/>
    <m/>
    <n v="0"/>
    <m/>
    <m/>
    <x v="1"/>
    <m/>
  </r>
  <r>
    <s v="No name"/>
    <x v="1"/>
    <x v="1"/>
    <x v="6"/>
    <n v="6"/>
    <s v="action"/>
    <n v="0"/>
    <s v="3 cases"/>
    <s v="Debuff"/>
    <x v="0"/>
    <s v="&gt;Votre cible doit faire un [[3. Résistance aux chocs#Le jet de résistance|jet de résistance]] (d8/5 + mod. d'[[1. Entrainement#L'intelligence|intelligence]]) aux [[1. Magie#Les sorts de savoir|sorts de savoir]]. En cas d'échec, elle subit un point de [[3. Fatigue et repos#Fatigue temporaire|fatigue temporaire]]."/>
  </r>
  <r>
    <s v="No name"/>
    <x v="1"/>
    <x v="2"/>
    <x v="6"/>
    <n v="5"/>
    <s v="reaction"/>
    <n v="0"/>
    <s v="Toucher"/>
    <s v="Support"/>
    <x v="0"/>
    <s v="&gt; Vous récupérez un point de [[3. Fatigue et repos#Fatigue persistante|fatigue persistante]] de votre cible."/>
  </r>
  <r>
    <m/>
    <x v="1"/>
    <x v="3"/>
    <x v="6"/>
    <m/>
    <m/>
    <n v="0"/>
    <m/>
    <m/>
    <x v="1"/>
    <m/>
  </r>
  <r>
    <m/>
    <x v="1"/>
    <x v="3"/>
    <x v="6"/>
    <m/>
    <m/>
    <n v="0"/>
    <m/>
    <m/>
    <x v="1"/>
    <m/>
  </r>
  <r>
    <s v="No name"/>
    <x v="1"/>
    <x v="1"/>
    <x v="7"/>
    <n v="4"/>
    <s v="action"/>
    <n v="0"/>
    <s v="Personnel"/>
    <s v="Utilitaire"/>
    <x v="0"/>
    <s v="&gt; Vous gagnez pendant 1 minute une vision dans le noir à 12 cases."/>
  </r>
  <r>
    <s v="Poussière incandescente"/>
    <x v="1"/>
    <x v="1"/>
    <x v="7"/>
    <n v="5"/>
    <s v="action"/>
    <n v="1"/>
    <s v="6 cases"/>
    <s v="Dégats"/>
    <x v="0"/>
    <s v="&gt; Crée une zone de poussière brulante de 6 cases de rayon émettant une lumière intense durant 1 minute. Finir son tour dans la poussière vous fait subir 1d6 dégâts de feu. Vous ne pouvez pas être [[6. Visibilité et lumière#Caché|caché]] dans la zone de poussière."/>
  </r>
  <r>
    <m/>
    <x v="1"/>
    <x v="3"/>
    <x v="7"/>
    <m/>
    <m/>
    <n v="0"/>
    <m/>
    <m/>
    <x v="1"/>
    <m/>
  </r>
  <r>
    <m/>
    <x v="1"/>
    <x v="3"/>
    <x v="7"/>
    <m/>
    <m/>
    <n v="0"/>
    <m/>
    <m/>
    <x v="1"/>
    <m/>
  </r>
  <r>
    <s v="Apaisement"/>
    <x v="1"/>
    <x v="1"/>
    <x v="8"/>
    <n v="3"/>
    <s v="action"/>
    <n v="0"/>
    <s v="Personnel"/>
    <s v="Support"/>
    <x v="0"/>
    <s v="&gt;En touchant la cible, guérit l'influence, le charme et la peur, mais inflige un malus de -1 aux jets de résistance de défense pour ces effets durant 3 tours."/>
  </r>
  <r>
    <s v="Painshock"/>
    <x v="1"/>
    <x v="2"/>
    <x v="8"/>
    <n v="6"/>
    <s v="action"/>
    <n v="0"/>
    <s v="Toucher"/>
    <s v="Debuff"/>
    <x v="0"/>
    <s v="&gt;*Ne fonctionne que si la cible touchée à subit des dégâts depuis votre dernier tour.* Vous touchez une plaie et intensifiez la douleur à l'extrême. La cible doit faire un [[3. Résistance aux chocs#Le jet de résistance|jet de résistance]] (d10/5 + mod. d'[[1. Entrainement#L'intelligence|intelligence]] + 1 par 10% de vie perdu au tour précédent) à l'[[2. Liste des effets#L'hébètement|hébètement]]. "/>
  </r>
  <r>
    <s v="Perturbateur"/>
    <x v="1"/>
    <x v="2"/>
    <x v="8"/>
    <n v="4"/>
    <s v="reaction"/>
    <n v="0"/>
    <s v="Toucher"/>
    <s v="Debuff"/>
    <x v="0"/>
    <s v="&gt;Vous pouvez perturber les flux magiques d'un lanceur de sort que vous voyez à 9 cases pour lui imposer un malus de 3 à son lancer de sort en cours."/>
  </r>
  <r>
    <m/>
    <x v="1"/>
    <x v="3"/>
    <x v="8"/>
    <m/>
    <m/>
    <n v="0"/>
    <m/>
    <m/>
    <x v="1"/>
    <m/>
  </r>
  <r>
    <m/>
    <x v="2"/>
    <x v="3"/>
    <x v="0"/>
    <m/>
    <m/>
    <n v="0"/>
    <m/>
    <s v="Buff"/>
    <x v="1"/>
    <m/>
  </r>
  <r>
    <m/>
    <x v="2"/>
    <x v="3"/>
    <x v="0"/>
    <m/>
    <m/>
    <n v="0"/>
    <m/>
    <s v="Dégats"/>
    <x v="1"/>
    <m/>
  </r>
  <r>
    <s v="Tourbillon de braise"/>
    <x v="2"/>
    <x v="1"/>
    <x v="0"/>
    <n v="6"/>
    <s v="action"/>
    <n v="0"/>
    <s v="9 cases"/>
    <s v="Dégats"/>
    <x v="0"/>
    <s v="&gt;Fait apparaitre une tornade de braises ardente de 2 cases de rayon. Chaque tour, vous pouvez la faire bouger de 2 cases pour 1 point d'action. Toute personne commençant son tour dans la tornade subit 2d8 dégâts de feu."/>
  </r>
  <r>
    <m/>
    <x v="2"/>
    <x v="3"/>
    <x v="1"/>
    <m/>
    <m/>
    <n v="0"/>
    <m/>
    <m/>
    <x v="1"/>
    <m/>
  </r>
  <r>
    <m/>
    <x v="2"/>
    <x v="3"/>
    <x v="1"/>
    <m/>
    <m/>
    <n v="0"/>
    <m/>
    <m/>
    <x v="1"/>
    <m/>
  </r>
  <r>
    <s v="Engourdissement"/>
    <x v="2"/>
    <x v="2"/>
    <x v="1"/>
    <n v="5"/>
    <s v="action"/>
    <n v="0"/>
    <s v="6 cases"/>
    <s v="Debuff"/>
    <x v="0"/>
    <s v="&gt;La cible doit faire un [[3. Résistance aux chocs#Le jet de résistance|jet de résistance]] (d10/6 + mod. de [[1. Entrainement#La psyché|psyché]]) aux [[1. Magie#Les sorts instinctif|sorts d'instinct]], divisant sa vitesse par 2 et lui imposant un malus de 3 pour attaquer avec des armes en cas d'échec."/>
  </r>
  <r>
    <m/>
    <x v="2"/>
    <x v="3"/>
    <x v="2"/>
    <m/>
    <m/>
    <n v="0"/>
    <m/>
    <m/>
    <x v="1"/>
    <m/>
  </r>
  <r>
    <m/>
    <x v="2"/>
    <x v="3"/>
    <x v="2"/>
    <m/>
    <m/>
    <n v="0"/>
    <m/>
    <m/>
    <x v="1"/>
    <m/>
  </r>
  <r>
    <s v="Orbe de chaos"/>
    <x v="2"/>
    <x v="0"/>
    <x v="2"/>
    <n v="9"/>
    <s v="action"/>
    <n v="0"/>
    <s v="12 cases"/>
    <s v="Dégats"/>
    <x v="0"/>
    <s v="&gt;Fait apparaitre une orbe de foudre d'une case. Chaque tour pendant 1 minute, à l'initiative de l'environnement, l'orbe lance un d4 pour choisir un point cardinal. Chaque personne dans un cône de 6 cases (90°) dans cette direction doit faire un [[3. Résistance aux chocs#Le jet de résistance|jet de résistance]] (d12/7 + mod. d'[[1. Entrainement#L'intelligence|intelligence]]) aux [[1. Magie#Les sorts de précision|sorts de précision]] ou subit 6d6[[2. Glossaire#Jet explosif|!]] dégâts de foudre."/>
  </r>
  <r>
    <m/>
    <x v="2"/>
    <x v="3"/>
    <x v="3"/>
    <m/>
    <m/>
    <n v="0"/>
    <m/>
    <m/>
    <x v="1"/>
    <m/>
  </r>
  <r>
    <m/>
    <x v="2"/>
    <x v="3"/>
    <x v="3"/>
    <m/>
    <m/>
    <n v="0"/>
    <m/>
    <m/>
    <x v="1"/>
    <m/>
  </r>
  <r>
    <s v="Protection suprême"/>
    <x v="2"/>
    <x v="1"/>
    <x v="3"/>
    <n v="6"/>
    <s v="action"/>
    <n v="0"/>
    <s v="Personnel"/>
    <s v="Tank"/>
    <x v="0"/>
    <s v="&gt;Vous vous entourez d'une imposante carapace de roche réactive qui absorbe les chocs. Vous gagnez une armure temporaire de 25PV (-5PV) pendant 2 tours. Subir un coup critique détruit l'armure mais annule l'effet critique."/>
  </r>
  <r>
    <m/>
    <x v="2"/>
    <x v="3"/>
    <x v="4"/>
    <m/>
    <m/>
    <n v="0"/>
    <m/>
    <m/>
    <x v="1"/>
    <m/>
  </r>
  <r>
    <s v="Rejet pur"/>
    <x v="2"/>
    <x v="1"/>
    <x v="4"/>
    <m/>
    <s v="action"/>
    <n v="0"/>
    <s v="3 cases"/>
    <s v="Dégats"/>
    <x v="0"/>
    <s v="&gt;Faites un jet d'attaque avec l'[[1. Entrainement#L'intelligence|intelligence]]. Vous propulsez une énergie magique pure condensée sur votre adversaire avec une puissance absolue. Vous infligez 1d6[[2. Glossaire#Jet explosif|!]]+2 dégâts magique par tranche de 3 mana dépensé. Vous pouvez dépenser jusqu'à 30 mana. Vous subissez un malus de 4 au lancer de sort au tour suivant."/>
  </r>
  <r>
    <s v="Disruption"/>
    <x v="2"/>
    <x v="2"/>
    <x v="4"/>
    <n v="5"/>
    <s v="action"/>
    <n v="0"/>
    <s v="6 cases"/>
    <s v="Debuff"/>
    <x v="0"/>
    <s v="&gt; Faites un jet d'attaque avec la [[1. Entrainement#La psyché|psyché]]. Vous imposez un jet de concentration à une cible que vous voyez. La difficulté est de 4d6+4."/>
  </r>
  <r>
    <m/>
    <x v="2"/>
    <x v="3"/>
    <x v="5"/>
    <m/>
    <m/>
    <n v="0"/>
    <m/>
    <m/>
    <x v="1"/>
    <m/>
  </r>
  <r>
    <m/>
    <x v="2"/>
    <x v="3"/>
    <x v="5"/>
    <m/>
    <m/>
    <n v="0"/>
    <m/>
    <m/>
    <x v="1"/>
    <m/>
  </r>
  <r>
    <m/>
    <x v="2"/>
    <x v="3"/>
    <x v="5"/>
    <m/>
    <m/>
    <n v="0"/>
    <m/>
    <m/>
    <x v="1"/>
    <m/>
  </r>
  <r>
    <m/>
    <x v="2"/>
    <x v="3"/>
    <x v="6"/>
    <m/>
    <m/>
    <n v="0"/>
    <m/>
    <m/>
    <x v="1"/>
    <m/>
  </r>
  <r>
    <m/>
    <x v="2"/>
    <x v="3"/>
    <x v="6"/>
    <m/>
    <m/>
    <n v="0"/>
    <m/>
    <m/>
    <x v="1"/>
    <m/>
  </r>
  <r>
    <m/>
    <x v="2"/>
    <x v="3"/>
    <x v="6"/>
    <m/>
    <m/>
    <n v="0"/>
    <m/>
    <m/>
    <x v="1"/>
    <m/>
  </r>
  <r>
    <m/>
    <x v="2"/>
    <x v="3"/>
    <x v="7"/>
    <m/>
    <m/>
    <n v="0"/>
    <m/>
    <m/>
    <x v="1"/>
    <m/>
  </r>
  <r>
    <m/>
    <x v="2"/>
    <x v="3"/>
    <x v="7"/>
    <m/>
    <m/>
    <n v="0"/>
    <m/>
    <m/>
    <x v="1"/>
    <m/>
  </r>
  <r>
    <s v="Anomalie immaculée"/>
    <x v="2"/>
    <x v="1"/>
    <x v="7"/>
    <n v="6"/>
    <s v="action"/>
    <n v="0"/>
    <s v="3 cases"/>
    <s v="Dégats"/>
    <x v="0"/>
    <s v="&gt; Place une anomalie visuelle à 3 cases émettant une [[6. Visibilité et lumière#Lumière intense|lumière vive]] à 9 cases. Lorsqu'un être vivant rentre en contact avec l'anomalie, il absorbe toute l'énergie magique et subit 4d8 points de dégâts magique"/>
  </r>
  <r>
    <m/>
    <x v="2"/>
    <x v="3"/>
    <x v="8"/>
    <m/>
    <m/>
    <n v="0"/>
    <m/>
    <m/>
    <x v="1"/>
    <m/>
  </r>
  <r>
    <m/>
    <x v="2"/>
    <x v="3"/>
    <x v="8"/>
    <m/>
    <m/>
    <n v="0"/>
    <m/>
    <m/>
    <x v="1"/>
    <m/>
  </r>
  <r>
    <m/>
    <x v="2"/>
    <x v="3"/>
    <x v="8"/>
    <m/>
    <m/>
    <n v="0"/>
    <m/>
    <m/>
    <x v="1"/>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BFC6617F-C419-4FE7-B60A-622D233F1B6C}" name="Tableau croisé dynamique1" cacheId="0" applyNumberFormats="0" applyBorderFormats="0" applyFontFormats="0" applyPatternFormats="0" applyAlignmentFormats="0" applyWidthHeightFormats="1" dataCaption="Valeurs" updatedVersion="8" minRefreshableVersion="3" useAutoFormatting="1" rowGrandTotals="0" colGrandTotals="0" itemPrintTitles="1" createdVersion="8" indent="0" outline="1" outlineData="1" multipleFieldFilters="0" rowHeaderCaption="Étiquettes" colHeaderCaption="Étiquettes" customListSort="0">
  <location ref="G3:J11" firstHeaderRow="1" firstDataRow="2" firstDataCol="1"/>
  <pivotFields count="22">
    <pivotField showAll="0"/>
    <pivotField showAll="0"/>
    <pivotField showAll="0"/>
    <pivotField showAll="0"/>
    <pivotField showAll="0"/>
    <pivotField showAll="0"/>
    <pivotField showAll="0"/>
    <pivotField showAll="0"/>
    <pivotField showAll="0"/>
    <pivotField showAll="0"/>
    <pivotField numFmtId="1" showAll="0"/>
    <pivotField numFmtId="1" showAll="0"/>
    <pivotField numFmtId="1" showAll="0"/>
    <pivotField axis="axisRow" dataField="1" showAll="0">
      <items count="9">
        <item x="4"/>
        <item x="1"/>
        <item x="2"/>
        <item x="0"/>
        <item x="3"/>
        <item x="5"/>
        <item x="6"/>
        <item m="1" x="7"/>
        <item t="default"/>
      </items>
    </pivotField>
    <pivotField showAll="0"/>
    <pivotField axis="axisCol" showAll="0">
      <items count="4">
        <item x="0"/>
        <item x="1"/>
        <item x="2"/>
        <item t="default"/>
      </items>
    </pivotField>
    <pivotField showAll="0"/>
    <pivotField showAll="0"/>
    <pivotField showAll="0"/>
    <pivotField showAll="0"/>
    <pivotField showAll="0"/>
    <pivotField showAll="0"/>
  </pivotFields>
  <rowFields count="1">
    <field x="13"/>
  </rowFields>
  <rowItems count="7">
    <i>
      <x/>
    </i>
    <i>
      <x v="1"/>
    </i>
    <i>
      <x v="2"/>
    </i>
    <i>
      <x v="3"/>
    </i>
    <i>
      <x v="4"/>
    </i>
    <i>
      <x v="5"/>
    </i>
    <i>
      <x v="6"/>
    </i>
  </rowItems>
  <colFields count="1">
    <field x="15"/>
  </colFields>
  <colItems count="3">
    <i>
      <x/>
    </i>
    <i>
      <x v="1"/>
    </i>
    <i>
      <x v="2"/>
    </i>
  </colItems>
  <dataFields count="1">
    <dataField name="Nombre" fld="13" subtotal="count" baseField="0" baseItem="0"/>
  </dataFields>
  <formats count="8">
    <format dxfId="47">
      <pivotArea type="all" dataOnly="0" outline="0" fieldPosition="0"/>
    </format>
    <format dxfId="46">
      <pivotArea outline="0" collapsedLevelsAreSubtotals="1" fieldPosition="0"/>
    </format>
    <format dxfId="45">
      <pivotArea type="origin" dataOnly="0" labelOnly="1" outline="0" fieldPosition="0"/>
    </format>
    <format dxfId="44">
      <pivotArea field="15" type="button" dataOnly="0" labelOnly="1" outline="0" axis="axisCol" fieldPosition="0"/>
    </format>
    <format dxfId="43">
      <pivotArea type="topRight" dataOnly="0" labelOnly="1" outline="0" fieldPosition="0"/>
    </format>
    <format dxfId="42">
      <pivotArea field="13" type="button" dataOnly="0" labelOnly="1" outline="0" axis="axisRow" fieldPosition="0"/>
    </format>
    <format dxfId="41">
      <pivotArea dataOnly="0" labelOnly="1" fieldPosition="0">
        <references count="1">
          <reference field="13" count="0"/>
        </references>
      </pivotArea>
    </format>
    <format dxfId="40">
      <pivotArea dataOnly="0" labelOnly="1" fieldPosition="0">
        <references count="1">
          <reference field="15" count="0"/>
        </references>
      </pivotArea>
    </format>
  </formats>
  <pivotTableStyleInfo name="PivotStyleMedium1"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A081A93E-4511-4704-AE91-88657B8D22FB}" name="Tableau croisé dynamique2" cacheId="0" applyNumberFormats="0" applyBorderFormats="0" applyFontFormats="0" applyPatternFormats="0" applyAlignmentFormats="0" applyWidthHeightFormats="1" dataCaption="Valeurs" updatedVersion="8" minRefreshableVersion="3" useAutoFormatting="1" rowGrandTotals="0" colGrandTotals="0" itemPrintTitles="1" createdVersion="8" indent="0" outline="1" outlineData="1" multipleFieldFilters="0" rowHeaderCaption="Étiquettes" colHeaderCaption="Étiquettes" customListSort="0">
  <location ref="G13:J21" firstHeaderRow="1" firstDataRow="2" firstDataCol="1"/>
  <pivotFields count="22">
    <pivotField showAll="0"/>
    <pivotField showAll="0"/>
    <pivotField showAll="0"/>
    <pivotField showAll="0"/>
    <pivotField showAll="0"/>
    <pivotField showAll="0"/>
    <pivotField showAll="0"/>
    <pivotField showAll="0"/>
    <pivotField showAll="0"/>
    <pivotField showAll="0"/>
    <pivotField numFmtId="1" showAll="0"/>
    <pivotField numFmtId="1" showAll="0"/>
    <pivotField numFmtId="1" showAll="0"/>
    <pivotField axis="axisRow" dataField="1" showAll="0">
      <items count="9">
        <item x="4"/>
        <item x="1"/>
        <item x="2"/>
        <item x="0"/>
        <item x="3"/>
        <item x="5"/>
        <item x="6"/>
        <item m="1" x="7"/>
        <item t="default"/>
      </items>
    </pivotField>
    <pivotField showAll="0"/>
    <pivotField showAll="0"/>
    <pivotField axis="axisCol" showAll="0">
      <items count="4">
        <item x="1"/>
        <item x="2"/>
        <item x="0"/>
        <item t="default"/>
      </items>
    </pivotField>
    <pivotField showAll="0"/>
    <pivotField showAll="0"/>
    <pivotField showAll="0"/>
    <pivotField showAll="0"/>
    <pivotField showAll="0"/>
  </pivotFields>
  <rowFields count="1">
    <field x="13"/>
  </rowFields>
  <rowItems count="7">
    <i>
      <x/>
    </i>
    <i>
      <x v="1"/>
    </i>
    <i>
      <x v="2"/>
    </i>
    <i>
      <x v="3"/>
    </i>
    <i>
      <x v="4"/>
    </i>
    <i>
      <x v="5"/>
    </i>
    <i>
      <x v="6"/>
    </i>
  </rowItems>
  <colFields count="1">
    <field x="16"/>
  </colFields>
  <colItems count="3">
    <i>
      <x/>
    </i>
    <i>
      <x v="1"/>
    </i>
    <i>
      <x v="2"/>
    </i>
  </colItems>
  <dataFields count="1">
    <dataField name="Nombre" fld="13" subtotal="count" baseField="0" baseItem="0"/>
  </dataFields>
  <formats count="8">
    <format dxfId="55">
      <pivotArea type="all" dataOnly="0" outline="0" fieldPosition="0"/>
    </format>
    <format dxfId="54">
      <pivotArea outline="0" collapsedLevelsAreSubtotals="1" fieldPosition="0"/>
    </format>
    <format dxfId="53">
      <pivotArea type="origin" dataOnly="0" labelOnly="1" outline="0" fieldPosition="0"/>
    </format>
    <format dxfId="52">
      <pivotArea field="16" type="button" dataOnly="0" labelOnly="1" outline="0" axis="axisCol" fieldPosition="0"/>
    </format>
    <format dxfId="51">
      <pivotArea type="topRight" dataOnly="0" labelOnly="1" outline="0" fieldPosition="0"/>
    </format>
    <format dxfId="50">
      <pivotArea field="13" type="button" dataOnly="0" labelOnly="1" outline="0" axis="axisRow" fieldPosition="0"/>
    </format>
    <format dxfId="49">
      <pivotArea dataOnly="0" labelOnly="1" fieldPosition="0">
        <references count="1">
          <reference field="13" count="0"/>
        </references>
      </pivotArea>
    </format>
    <format dxfId="48">
      <pivotArea dataOnly="0" labelOnly="1" fieldPosition="0">
        <references count="1">
          <reference field="16" count="0"/>
        </references>
      </pivotArea>
    </format>
  </formats>
  <pivotTableStyleInfo name="PivotStyleMedium1"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48BF6940-E523-4120-86BF-8B445518EE93}" name="Tableau croisé dynamique4" cacheId="1" applyNumberFormats="0" applyBorderFormats="0" applyFontFormats="0" applyPatternFormats="0" applyAlignmentFormats="0" applyWidthHeightFormats="1" dataCaption="Valeurs" updatedVersion="8" minRefreshableVersion="3" showDrill="0" useAutoFormatting="1" rowGrandTotals="0" itemPrintTitles="1" createdVersion="8" indent="0" showHeaders="0" outline="1" outlineData="1" multipleFieldFilters="0" chartFormat="1">
  <location ref="V4:Z32" firstHeaderRow="1" firstDataRow="2" firstDataCol="1" rowPageCount="1" colPageCount="1"/>
  <pivotFields count="11">
    <pivotField multipleItemSelectionAllowed="1" showAll="0"/>
    <pivotField axis="axisRow" dataField="1" showAll="0">
      <items count="4">
        <item x="0"/>
        <item x="1"/>
        <item x="2"/>
        <item t="default"/>
      </items>
    </pivotField>
    <pivotField axis="axisCol" showAll="0">
      <items count="5">
        <item x="2"/>
        <item x="0"/>
        <item x="1"/>
        <item h="1" x="3"/>
        <item t="default"/>
      </items>
    </pivotField>
    <pivotField axis="axisRow" showAll="0">
      <items count="10">
        <item x="5"/>
        <item x="4"/>
        <item x="0"/>
        <item x="2"/>
        <item x="1"/>
        <item x="7"/>
        <item x="6"/>
        <item x="8"/>
        <item x="3"/>
        <item t="default"/>
      </items>
    </pivotField>
    <pivotField showAll="0"/>
    <pivotField showAll="0"/>
    <pivotField showAll="0"/>
    <pivotField showAll="0"/>
    <pivotField showAll="0"/>
    <pivotField axis="axisPage" multipleItemSelectionAllowed="1" showAll="0">
      <items count="4">
        <item x="2"/>
        <item h="1" x="1"/>
        <item x="0"/>
        <item t="default"/>
      </items>
    </pivotField>
    <pivotField showAll="0"/>
  </pivotFields>
  <rowFields count="2">
    <field x="1"/>
    <field x="3"/>
  </rowFields>
  <rowItems count="27">
    <i>
      <x/>
    </i>
    <i r="1">
      <x/>
    </i>
    <i r="1">
      <x v="1"/>
    </i>
    <i r="1">
      <x v="2"/>
    </i>
    <i r="1">
      <x v="3"/>
    </i>
    <i r="1">
      <x v="4"/>
    </i>
    <i r="1">
      <x v="5"/>
    </i>
    <i r="1">
      <x v="6"/>
    </i>
    <i r="1">
      <x v="7"/>
    </i>
    <i r="1">
      <x v="8"/>
    </i>
    <i>
      <x v="1"/>
    </i>
    <i r="1">
      <x/>
    </i>
    <i r="1">
      <x v="1"/>
    </i>
    <i r="1">
      <x v="2"/>
    </i>
    <i r="1">
      <x v="3"/>
    </i>
    <i r="1">
      <x v="4"/>
    </i>
    <i r="1">
      <x v="5"/>
    </i>
    <i r="1">
      <x v="6"/>
    </i>
    <i r="1">
      <x v="7"/>
    </i>
    <i r="1">
      <x v="8"/>
    </i>
    <i>
      <x v="2"/>
    </i>
    <i r="1">
      <x v="1"/>
    </i>
    <i r="1">
      <x v="2"/>
    </i>
    <i r="1">
      <x v="3"/>
    </i>
    <i r="1">
      <x v="4"/>
    </i>
    <i r="1">
      <x v="5"/>
    </i>
    <i r="1">
      <x v="8"/>
    </i>
  </rowItems>
  <colFields count="1">
    <field x="2"/>
  </colFields>
  <colItems count="4">
    <i>
      <x/>
    </i>
    <i>
      <x v="1"/>
    </i>
    <i>
      <x v="2"/>
    </i>
    <i t="grand">
      <x/>
    </i>
  </colItems>
  <pageFields count="1">
    <pageField fld="9" hier="-1"/>
  </pageFields>
  <dataFields count="1">
    <dataField name="Nombre de Rang" fld="1" subtotal="count" baseField="1" baseItem="1"/>
  </dataFields>
  <formats count="17">
    <format dxfId="72">
      <pivotArea type="all" dataOnly="0" outline="0" fieldPosition="0"/>
    </format>
    <format dxfId="71">
      <pivotArea outline="0" collapsedLevelsAreSubtotals="1" fieldPosition="0"/>
    </format>
    <format dxfId="70">
      <pivotArea type="origin" dataOnly="0" labelOnly="1" outline="0" fieldPosition="0"/>
    </format>
    <format dxfId="69">
      <pivotArea type="topRight" dataOnly="0" labelOnly="1" outline="0" fieldPosition="0"/>
    </format>
    <format dxfId="68">
      <pivotArea dataOnly="0" labelOnly="1" fieldPosition="0">
        <references count="1">
          <reference field="1" count="0"/>
        </references>
      </pivotArea>
    </format>
    <format dxfId="67">
      <pivotArea dataOnly="0" labelOnly="1" fieldPosition="0">
        <references count="2">
          <reference field="1" count="1" selected="0">
            <x v="0"/>
          </reference>
          <reference field="3" count="0"/>
        </references>
      </pivotArea>
    </format>
    <format dxfId="66">
      <pivotArea dataOnly="0" labelOnly="1" fieldPosition="0">
        <references count="2">
          <reference field="1" count="1" selected="0">
            <x v="1"/>
          </reference>
          <reference field="3" count="0"/>
        </references>
      </pivotArea>
    </format>
    <format dxfId="65">
      <pivotArea dataOnly="0" labelOnly="1" fieldPosition="0">
        <references count="2">
          <reference field="1" count="1" selected="0">
            <x v="2"/>
          </reference>
          <reference field="3" count="6">
            <x v="1"/>
            <x v="2"/>
            <x v="3"/>
            <x v="4"/>
            <x v="5"/>
            <x v="8"/>
          </reference>
        </references>
      </pivotArea>
    </format>
    <format dxfId="64">
      <pivotArea type="origin" dataOnly="0" labelOnly="1" outline="0" fieldPosition="0"/>
    </format>
    <format dxfId="63">
      <pivotArea dataOnly="0" labelOnly="1" fieldPosition="0">
        <references count="1">
          <reference field="2" count="0"/>
        </references>
      </pivotArea>
    </format>
    <format dxfId="62">
      <pivotArea dataOnly="0" labelOnly="1" grandCol="1" outline="0" fieldPosition="0"/>
    </format>
    <format dxfId="61">
      <pivotArea dataOnly="0" labelOnly="1" fieldPosition="0">
        <references count="1">
          <reference field="1" count="0"/>
        </references>
      </pivotArea>
    </format>
    <format dxfId="60">
      <pivotArea dataOnly="0" labelOnly="1" fieldPosition="0">
        <references count="2">
          <reference field="1" count="1" selected="0">
            <x v="0"/>
          </reference>
          <reference field="3" count="0"/>
        </references>
      </pivotArea>
    </format>
    <format dxfId="59">
      <pivotArea dataOnly="0" labelOnly="1" fieldPosition="0">
        <references count="2">
          <reference field="1" count="1" selected="0">
            <x v="1"/>
          </reference>
          <reference field="3" count="0"/>
        </references>
      </pivotArea>
    </format>
    <format dxfId="58">
      <pivotArea dataOnly="0" labelOnly="1" fieldPosition="0">
        <references count="2">
          <reference field="1" count="1" selected="0">
            <x v="2"/>
          </reference>
          <reference field="3" count="6">
            <x v="1"/>
            <x v="2"/>
            <x v="3"/>
            <x v="4"/>
            <x v="5"/>
            <x v="8"/>
          </reference>
        </references>
      </pivotArea>
    </format>
    <format dxfId="57">
      <pivotArea dataOnly="0" labelOnly="1" fieldPosition="0">
        <references count="1">
          <reference field="2" count="0"/>
        </references>
      </pivotArea>
    </format>
    <format dxfId="56">
      <pivotArea dataOnly="0" labelOnly="1" grandCol="1" outline="0" fieldPosition="0"/>
    </format>
  </formats>
  <chartFormats count="6">
    <chartFormat chart="0" format="3" series="1">
      <pivotArea type="data" outline="0" fieldPosition="0">
        <references count="1">
          <reference field="2" count="1" selected="0">
            <x v="0"/>
          </reference>
        </references>
      </pivotArea>
    </chartFormat>
    <chartFormat chart="0" format="4" series="1">
      <pivotArea type="data" outline="0" fieldPosition="0">
        <references count="1">
          <reference field="2" count="1" selected="0">
            <x v="1"/>
          </reference>
        </references>
      </pivotArea>
    </chartFormat>
    <chartFormat chart="0" format="5" series="1">
      <pivotArea type="data" outline="0" fieldPosition="0">
        <references count="1">
          <reference field="2" count="1" selected="0">
            <x v="2"/>
          </reference>
        </references>
      </pivotArea>
    </chartFormat>
    <chartFormat chart="0" format="6" series="1">
      <pivotArea type="data" outline="0" fieldPosition="0">
        <references count="2">
          <reference field="4294967294" count="1" selected="0">
            <x v="0"/>
          </reference>
          <reference field="2" count="1" selected="0">
            <x v="0"/>
          </reference>
        </references>
      </pivotArea>
    </chartFormat>
    <chartFormat chart="0" format="7" series="1">
      <pivotArea type="data" outline="0" fieldPosition="0">
        <references count="2">
          <reference field="4294967294" count="1" selected="0">
            <x v="0"/>
          </reference>
          <reference field="2" count="1" selected="0">
            <x v="1"/>
          </reference>
        </references>
      </pivotArea>
    </chartFormat>
    <chartFormat chart="0" format="8" series="1">
      <pivotArea type="data" outline="0" fieldPosition="0">
        <references count="2">
          <reference field="4294967294" count="1" selected="0">
            <x v="0"/>
          </reference>
          <reference field="2" count="1" selected="0">
            <x v="2"/>
          </reference>
        </references>
      </pivotArea>
    </chartFormat>
  </chartFormats>
  <pivotTableStyleInfo name="PivotStyleMedium1" showRowHeaders="1" showColHeaders="1" showRowStripes="0" showColStripes="1"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B8D08482-BBA4-4DA6-BBDA-39B9944FF317}" name="Tableau croisé dynamique3" cacheId="1" applyNumberFormats="0" applyBorderFormats="0" applyFontFormats="0" applyPatternFormats="0" applyAlignmentFormats="0" applyWidthHeightFormats="1" dataCaption="Valeurs" updatedVersion="8" minRefreshableVersion="3" showDrill="0" useAutoFormatting="1" rowGrandTotals="0" colGrandTotals="0" itemPrintTitles="1" mergeItem="1" createdVersion="8" indent="127" showHeaders="0" compact="0" compactData="0" multipleFieldFilters="0" chartFormat="1">
  <location ref="Q23:T27" firstHeaderRow="1" firstDataRow="2" firstDataCol="1" rowPageCount="1" colPageCount="1"/>
  <pivotFields count="11">
    <pivotField compact="0" outline="0" multipleItemSelectionAllowed="1" showAll="0"/>
    <pivotField axis="axisRow" dataField="1" compact="0" outline="0" showAll="0" defaultSubtotal="0">
      <items count="3">
        <item x="0"/>
        <item x="1"/>
        <item x="2"/>
      </items>
    </pivotField>
    <pivotField axis="axisCol" compact="0" outline="0" showAll="0" defaultSubtotal="0">
      <items count="4">
        <item x="2"/>
        <item x="0"/>
        <item x="1"/>
        <item h="1" x="3"/>
      </items>
    </pivotField>
    <pivotField compact="0" outline="0" showAll="0"/>
    <pivotField compact="0" outline="0" showAll="0"/>
    <pivotField compact="0" outline="0" showAll="0"/>
    <pivotField compact="0" outline="0" showAll="0"/>
    <pivotField compact="0" outline="0" showAll="0"/>
    <pivotField compact="0" outline="0" showAll="0"/>
    <pivotField axis="axisPage" compact="0" outline="0" multipleItemSelectionAllowed="1" showAll="0">
      <items count="4">
        <item x="2"/>
        <item h="1" x="1"/>
        <item x="0"/>
        <item t="default"/>
      </items>
    </pivotField>
    <pivotField compact="0" outline="0" showAll="0"/>
  </pivotFields>
  <rowFields count="1">
    <field x="1"/>
  </rowFields>
  <rowItems count="3">
    <i>
      <x/>
    </i>
    <i>
      <x v="1"/>
    </i>
    <i>
      <x v="2"/>
    </i>
  </rowItems>
  <colFields count="1">
    <field x="2"/>
  </colFields>
  <colItems count="3">
    <i>
      <x/>
    </i>
    <i>
      <x v="1"/>
    </i>
    <i>
      <x v="2"/>
    </i>
  </colItems>
  <pageFields count="1">
    <pageField fld="9" hier="-1"/>
  </pageFields>
  <dataFields count="1">
    <dataField name="Nombre" fld="1" subtotal="count" baseField="1" baseItem="0"/>
  </dataFields>
  <formats count="9">
    <format dxfId="81">
      <pivotArea type="all" dataOnly="0" outline="0" fieldPosition="0"/>
    </format>
    <format dxfId="80">
      <pivotArea outline="0" collapsedLevelsAreSubtotals="1" fieldPosition="0"/>
    </format>
    <format dxfId="79">
      <pivotArea type="origin" dataOnly="0" labelOnly="1" outline="0" fieldPosition="0"/>
    </format>
    <format dxfId="78">
      <pivotArea field="2" type="button" dataOnly="0" labelOnly="1" outline="0" axis="axisCol" fieldPosition="0"/>
    </format>
    <format dxfId="77">
      <pivotArea type="topRight" dataOnly="0" labelOnly="1" outline="0" fieldPosition="0"/>
    </format>
    <format dxfId="76">
      <pivotArea field="1" type="button" dataOnly="0" labelOnly="1" outline="0" axis="axisRow" fieldPosition="0"/>
    </format>
    <format dxfId="75">
      <pivotArea dataOnly="0" labelOnly="1" fieldPosition="0">
        <references count="1">
          <reference field="1" count="0"/>
        </references>
      </pivotArea>
    </format>
    <format dxfId="74">
      <pivotArea dataOnly="0" labelOnly="1" fieldPosition="0">
        <references count="1">
          <reference field="2" count="0"/>
        </references>
      </pivotArea>
    </format>
    <format dxfId="73">
      <pivotArea dataOnly="0" labelOnly="1" outline="0" fieldPosition="0">
        <references count="1">
          <reference field="2" count="0"/>
        </references>
      </pivotArea>
    </format>
  </formats>
  <chartFormats count="5">
    <chartFormat chart="0" format="0" series="1">
      <pivotArea type="data" outline="0" fieldPosition="0">
        <references count="1">
          <reference field="2" count="1" selected="0">
            <x v="0"/>
          </reference>
        </references>
      </pivotArea>
    </chartFormat>
    <chartFormat chart="0" format="1" series="1">
      <pivotArea type="data" outline="0" fieldPosition="0">
        <references count="1">
          <reference field="2" count="1" selected="0">
            <x v="1"/>
          </reference>
        </references>
      </pivotArea>
    </chartFormat>
    <chartFormat chart="0" format="2" series="1">
      <pivotArea type="data" outline="0" fieldPosition="0">
        <references count="1">
          <reference field="2" count="1" selected="0">
            <x v="2"/>
          </reference>
        </references>
      </pivotArea>
    </chartFormat>
    <chartFormat chart="0" format="3" series="1">
      <pivotArea type="data" outline="0" fieldPosition="0">
        <references count="2">
          <reference field="4294967294" count="1" selected="0">
            <x v="0"/>
          </reference>
          <reference field="2" count="1" selected="0">
            <x v="1"/>
          </reference>
        </references>
      </pivotArea>
    </chartFormat>
    <chartFormat chart="0" format="5" series="1">
      <pivotArea type="data" outline="0" fieldPosition="0">
        <references count="2">
          <reference field="4294967294" count="1" selected="0">
            <x v="0"/>
          </reference>
          <reference field="2" count="1" selected="0">
            <x v="2"/>
          </reference>
        </references>
      </pivotArea>
    </chartFormat>
  </chartFormats>
  <pivotTableStyleInfo name="PivotStyleMedium1" showRowHeaders="1" showColHeaders="1" showRowStripes="0" showColStripes="1"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8A04A0B-99E5-47DA-B000-A1B3A2D4D345}" name="Aspects" displayName="Aspects" ref="A1:W37" totalsRowShown="0">
  <autoFilter ref="A1:W37" xr:uid="{A8A04A0B-99E5-47DA-B000-A1B3A2D4D345}"/>
  <tableColumns count="23">
    <tableColumn id="1" xr3:uid="{10AA4F7D-76DE-41B1-9659-A5044CC3E4A8}" name="Aspect" dataDxfId="39"/>
    <tableColumn id="2" xr3:uid="{A898C7BE-0FDD-402E-8922-35117279222B}" name="Physique" dataDxfId="38"/>
    <tableColumn id="9" xr3:uid="{4FA83F93-4573-46A4-A19C-C295E9738AAD}" name="Phy min" dataDxfId="37"/>
    <tableColumn id="10" xr3:uid="{07F11B45-75A0-4510-8871-7C335ECB6F0B}" name="Phy max" dataDxfId="36"/>
    <tableColumn id="3" xr3:uid="{ECF1AC7E-5D81-4093-B97F-5FBA02904983}" name="Mental" dataDxfId="35"/>
    <tableColumn id="11" xr3:uid="{06B7B755-4C10-4F66-8420-171C42244C9F}" name="Men min" dataDxfId="34"/>
    <tableColumn id="12" xr3:uid="{56B7A928-DE0B-4793-AB8D-3D4BBC8386A7}" name="Men max" dataDxfId="33"/>
    <tableColumn id="4" xr3:uid="{EF26AB02-1B3F-4F8C-8E02-B3283BCEA532}" name="Charactère" dataDxfId="32"/>
    <tableColumn id="13" xr3:uid="{2C1AE653-EA96-4993-9C14-572C1613BF63}" name="Cha min" dataDxfId="31"/>
    <tableColumn id="14" xr3:uid="{8B692861-3522-43B8-B94A-1BE0E42BF8E6}" name="Cha max" dataDxfId="30"/>
    <tableColumn id="15" xr3:uid="{89823BD5-E43B-4180-864D-11077269E43E}" name="Min stats" dataDxfId="29">
      <calculatedColumnFormula>Aspects[[#This Row],[Phy min]]+Aspects[[#This Row],[Men min]]+Aspects[[#This Row],[Cha min]]</calculatedColumnFormula>
    </tableColumn>
    <tableColumn id="18" xr3:uid="{B62942C4-D64A-480D-A6F6-64144A046503}" name="Max stats" dataDxfId="28">
      <calculatedColumnFormula>Aspects[[#This Row],[Phy max]]+Aspects[[#This Row],[Men max]]+Aspects[[#This Row],[Cha max]]</calculatedColumnFormula>
    </tableColumn>
    <tableColumn id="19" xr3:uid="{F9A74C34-ACD5-4533-A2C1-D1E128D13E9B}" name="Range stats" dataDxfId="27">
      <calculatedColumnFormula>MAX(Aspects[[#This Row],[Max stats]]-Aspects[[#This Row],[Min stats]],0)</calculatedColumnFormula>
    </tableColumn>
    <tableColumn id="16" xr3:uid="{643E4DFB-48C1-4622-906D-01CBC394F5EC}" name="Difficulté" dataDxfId="26">
      <calculatedColumnFormula>ROUNDUP(AVERAGE(Aspects[[#This Row],[Phy min]:[Phy max]])*WPHYSIC+AVERAGE(Aspects[[#This Row],[Men min]:[Men max]])*WMENTAL+AVERAGE(Aspects[[#This Row],[Cha min]:[Cha max]])*WCHARAC,0)</calculatedColumnFormula>
    </tableColumn>
    <tableColumn id="17" xr3:uid="{80B84368-B714-432D-BEE5-BA817EC9B9D3}" name="Stat améliorée" dataDxfId="25"/>
    <tableColumn id="5" xr3:uid="{E635B0CD-5AA8-4957-9B73-A5F50895628E}" name="Alignement" dataDxfId="24"/>
    <tableColumn id="6" xr3:uid="{D99196F6-6064-42E9-9F14-08286C5F2CBF}" name="Bonté" dataDxfId="23">
      <calculatedColumnFormula>IFERROR(VLOOKUP(Aspects[[#This Row],[Alignement]],Alignement[],2,FALSE),"")</calculatedColumnFormula>
    </tableColumn>
    <tableColumn id="7" xr3:uid="{A6CC1D48-401A-4CA9-83BC-5484361F3C75}" name="Loyauté" dataDxfId="22">
      <calculatedColumnFormula>IFERROR(VLOOKUP(Aspects[[#This Row],[Alignement]],Alignement[],3,FALSE),"")</calculatedColumnFormula>
    </tableColumn>
    <tableColumn id="8" xr3:uid="{A8B45E07-B4D8-4E13-9202-FDC79F47976E}" name="Magie" dataDxfId="21">
      <calculatedColumnFormula>IF(Aspects[[#This Row],[Men min]]&lt;8,0,1)</calculatedColumnFormula>
    </tableColumn>
    <tableColumn id="22" xr3:uid="{4632161D-13FF-47A8-90DF-3FE97EE6945D}" name="Min" dataDxfId="20">
      <calculatedColumnFormula>IF(OR(AND(Aspects[[#This Row],[Min stats]]&lt;=35,Aspects[[#This Row],[Loyauté]]&lt;&gt;"Loyal"),AND(Aspects[[#This Row],[Min stats]]&lt;=25,Aspects[[#This Row],[Loyauté]]="Loyal")),1,0)</calculatedColumnFormula>
    </tableColumn>
    <tableColumn id="23" xr3:uid="{4D712596-335A-4F29-BEF3-2221C8A7A116}" name="Max" dataDxfId="19">
      <calculatedColumnFormula>IF(Aspects[[#This Row],[Max stats]]&gt;=43,1,0)</calculatedColumnFormula>
    </tableColumn>
    <tableColumn id="21" xr3:uid="{93200CD2-1E11-4826-BAC0-0638EE02B6DE}" name="Range" dataDxfId="18">
      <calculatedColumnFormula>IF(OR(AND(Aspects[[#This Row],[Range stats]]&gt;=15,Aspects[[#This Row],[Range stats]]&lt;=27,Aspects[[#This Row],[Loyauté]]&lt;&gt;"Loyal"),AND(Aspects[[#This Row],[Range stats]]&gt;=27,Aspects[[#This Row],[Range stats]]&lt;=40,Aspects[[#This Row],[Loyauté]]="Loyal")),1,0)</calculatedColumnFormula>
    </tableColumn>
    <tableColumn id="20" xr3:uid="{2FD35BF0-9F45-439F-B8B3-6015C4C8CD4D}" name="Commentaire" dataDxfId="17"/>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238FAE0E-3C8A-48F7-A7E1-FC2E477A7D3C}" name="Sorts" displayName="Sorts" ref="A1:K118" totalsRowShown="0">
  <autoFilter ref="A1:K118" xr:uid="{238FAE0E-3C8A-48F7-A7E1-FC2E477A7D3C}"/>
  <sortState xmlns:xlrd2="http://schemas.microsoft.com/office/spreadsheetml/2017/richdata2" ref="A2:K118">
    <sortCondition ref="B2:B118"/>
    <sortCondition ref="D2:D118" customList="Feu,Glace,Foudre,Terre,Arcane,Air,Nature,Lumière,Psy"/>
  </sortState>
  <tableColumns count="11">
    <tableColumn id="1" xr3:uid="{A2AB743F-9073-4A57-9EDA-5E0E415BD54F}" name="Sort"/>
    <tableColumn id="2" xr3:uid="{BA70F8CE-2D33-4A86-A98E-EBA3598A81C2}" name="Rang" dataDxfId="16"/>
    <tableColumn id="3" xr3:uid="{3579E514-6C5C-4F90-B910-48D47EA58876}" name="Type"/>
    <tableColumn id="4" xr3:uid="{AA9D852E-6073-4283-B04F-301D3A15EB76}" name="Element"/>
    <tableColumn id="5" xr3:uid="{B3C7CCA8-728B-479A-BA99-7E199D13407C}" name="Coût" dataDxfId="15"/>
    <tableColumn id="6" xr3:uid="{D7AF6421-4267-4A3B-AAF6-4E44AA0942F5}" name="Incantation" dataDxfId="14"/>
    <tableColumn id="8" xr3:uid="{4C25CF09-2441-41F5-9404-D55F9B6896D2}" name="Concentration" dataDxfId="13"/>
    <tableColumn id="11" xr3:uid="{DCEE26D2-9066-498C-80CA-5F86E102C71A}" name="Distance" dataDxfId="12"/>
    <tableColumn id="9" xr3:uid="{A4EA893E-3AEE-43AB-818E-E2A8638CC5E0}" name="Categorie" dataDxfId="11"/>
    <tableColumn id="7" xr3:uid="{B712D949-FEF4-4A69-A7FE-B58DE93D47BB}" name="Commentaire" dataDxfId="10"/>
    <tableColumn id="10" xr3:uid="{C6861AF9-B2E3-461A-B83C-4A6BA31725E2}" name="Description" dataDxfId="9"/>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20FEC02-33C3-4EBB-BC23-9B9D8A703CE6}" name="Alignement" displayName="Alignement" ref="A1:C10" totalsRowShown="0">
  <autoFilter ref="A1:C10" xr:uid="{320FEC02-33C3-4EBB-BC23-9B9D8A703CE6}"/>
  <tableColumns count="3">
    <tableColumn id="1" xr3:uid="{02C13EDA-ADD2-419A-BDF3-FF680D48F9A5}" name="Alignement"/>
    <tableColumn id="2" xr3:uid="{9B21C42D-A038-4BE0-9A51-2B2420EB9A46}" name="Bonté"/>
    <tableColumn id="3" xr3:uid="{86626128-844F-4074-A925-E2AF354E9683}" name="Loyauté"/>
  </tableColumns>
  <tableStyleInfo name="Neutre" showFirstColumn="0" showLastColumn="0" showRowStripes="1" showColumnStripes="0"/>
</table>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ivotTable" Target="../pivotTables/pivotTable3.xml"/><Relationship Id="rId2" Type="http://schemas.openxmlformats.org/officeDocument/2006/relationships/pivotTable" Target="../pivotTables/pivotTable2.xml"/><Relationship Id="rId1" Type="http://schemas.openxmlformats.org/officeDocument/2006/relationships/pivotTable" Target="../pivotTables/pivotTable1.xml"/><Relationship Id="rId4" Type="http://schemas.openxmlformats.org/officeDocument/2006/relationships/pivotTable" Target="../pivotTables/pivotTable4.xm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881C37-2AEE-4DB8-87EA-2D42CAB55EFD}">
  <dimension ref="B2:AB42"/>
  <sheetViews>
    <sheetView showGridLines="0" topLeftCell="J1" workbookViewId="0">
      <selection activeCell="AD25" sqref="AD25"/>
    </sheetView>
  </sheetViews>
  <sheetFormatPr baseColWidth="10" defaultRowHeight="15" x14ac:dyDescent="0.25"/>
  <cols>
    <col min="1" max="2" width="2.85546875" customWidth="1"/>
    <col min="3" max="3" width="11.42578125" customWidth="1"/>
    <col min="4" max="4" width="5.140625" customWidth="1"/>
    <col min="5" max="5" width="10.7109375" customWidth="1"/>
    <col min="6" max="6" width="2.85546875" customWidth="1"/>
    <col min="7" max="7" width="12.42578125" bestFit="1" customWidth="1"/>
    <col min="8" max="8" width="8.28515625" bestFit="1" customWidth="1"/>
    <col min="9" max="9" width="7.28515625" bestFit="1" customWidth="1"/>
    <col min="10" max="10" width="12.5703125" bestFit="1" customWidth="1"/>
    <col min="11" max="11" width="2.85546875" customWidth="1"/>
    <col min="12" max="12" width="20.140625" bestFit="1" customWidth="1"/>
    <col min="13" max="13" width="5" bestFit="1" customWidth="1"/>
    <col min="14" max="16" width="2.85546875" customWidth="1"/>
    <col min="17" max="17" width="13.140625" bestFit="1" customWidth="1"/>
    <col min="18" max="18" width="21.85546875" bestFit="1" customWidth="1"/>
    <col min="19" max="19" width="9.140625" bestFit="1" customWidth="1"/>
    <col min="20" max="20" width="6.42578125" bestFit="1" customWidth="1"/>
    <col min="21" max="21" width="2.85546875" customWidth="1"/>
    <col min="22" max="22" width="15.7109375" bestFit="1" customWidth="1"/>
    <col min="23" max="23" width="21.85546875" bestFit="1" customWidth="1"/>
    <col min="24" max="24" width="9.140625" bestFit="1" customWidth="1"/>
    <col min="25" max="25" width="6.42578125" bestFit="1" customWidth="1"/>
    <col min="26" max="26" width="12.5703125" bestFit="1" customWidth="1"/>
    <col min="27" max="28" width="2.85546875" customWidth="1"/>
    <col min="29" max="29" width="13.140625" bestFit="1" customWidth="1"/>
    <col min="30" max="30" width="15.140625" bestFit="1" customWidth="1"/>
    <col min="31" max="31" width="18.140625" bestFit="1" customWidth="1"/>
    <col min="32" max="32" width="19" bestFit="1" customWidth="1"/>
    <col min="33" max="33" width="21" bestFit="1" customWidth="1"/>
    <col min="34" max="34" width="24" bestFit="1" customWidth="1"/>
    <col min="35" max="35" width="19" bestFit="1" customWidth="1"/>
    <col min="36" max="36" width="21" bestFit="1" customWidth="1"/>
    <col min="37" max="37" width="24" bestFit="1" customWidth="1"/>
    <col min="38" max="38" width="18.140625" bestFit="1" customWidth="1"/>
    <col min="39" max="39" width="20.140625" bestFit="1" customWidth="1"/>
    <col min="40" max="40" width="23.140625" bestFit="1" customWidth="1"/>
  </cols>
  <sheetData>
    <row r="2" spans="2:28" ht="15.75" thickBot="1" x14ac:dyDescent="0.3">
      <c r="B2" s="22"/>
      <c r="C2" s="23"/>
      <c r="D2" s="23"/>
      <c r="E2" s="23"/>
      <c r="F2" s="23"/>
      <c r="G2" s="23"/>
      <c r="H2" s="23"/>
      <c r="I2" s="23"/>
      <c r="J2" s="23"/>
      <c r="K2" s="23"/>
      <c r="L2" s="23"/>
      <c r="M2" s="23"/>
      <c r="N2" s="24"/>
      <c r="P2" s="22"/>
      <c r="Q2" s="23"/>
      <c r="R2" s="23"/>
      <c r="S2" s="23"/>
      <c r="T2" s="23"/>
      <c r="U2" s="23"/>
      <c r="V2" s="56" t="s">
        <v>74</v>
      </c>
      <c r="W2" s="45" t="s">
        <v>210</v>
      </c>
      <c r="X2" s="23"/>
      <c r="Y2" s="23"/>
      <c r="Z2" s="23"/>
      <c r="AA2" s="23"/>
      <c r="AB2" s="25"/>
    </row>
    <row r="3" spans="2:28" x14ac:dyDescent="0.25">
      <c r="B3" s="25"/>
      <c r="C3" s="5" t="s">
        <v>15</v>
      </c>
      <c r="D3" s="31">
        <f>COUNTIF(Aspects[Bonté],"Bon")</f>
        <v>6</v>
      </c>
      <c r="E3" s="36">
        <f>D3/SUM($D$3:$D$5)</f>
        <v>0.16666666666666666</v>
      </c>
      <c r="G3" s="6" t="s">
        <v>69</v>
      </c>
      <c r="H3" s="6" t="s">
        <v>70</v>
      </c>
      <c r="N3" s="26"/>
      <c r="P3" s="25"/>
      <c r="Q3" s="5" t="s">
        <v>201</v>
      </c>
      <c r="R3" s="31">
        <f>COUNTIF(Sorts[Rang],"1")</f>
        <v>48</v>
      </c>
      <c r="S3" s="36">
        <f>R3/SUM(R3:R5)</f>
        <v>0.41025641025641024</v>
      </c>
      <c r="AB3" s="25"/>
    </row>
    <row r="4" spans="2:28" x14ac:dyDescent="0.25">
      <c r="B4" s="25"/>
      <c r="C4" s="3" t="s">
        <v>5</v>
      </c>
      <c r="D4" s="30">
        <f>COUNTIF(Aspects[Bonté],"Neutre")</f>
        <v>15</v>
      </c>
      <c r="E4" s="37">
        <f>D4/SUM($D$3:$D$5)</f>
        <v>0.41666666666666669</v>
      </c>
      <c r="G4" s="6" t="s">
        <v>70</v>
      </c>
      <c r="H4" t="s">
        <v>15</v>
      </c>
      <c r="I4" t="s">
        <v>14</v>
      </c>
      <c r="J4" t="s">
        <v>5</v>
      </c>
      <c r="L4" t="s">
        <v>81</v>
      </c>
      <c r="M4" s="17">
        <v>0.15</v>
      </c>
      <c r="N4" s="26"/>
      <c r="P4" s="25"/>
      <c r="Q4" s="3" t="s">
        <v>202</v>
      </c>
      <c r="R4" s="30">
        <f>COUNTIF(Sorts[Rang],"2")</f>
        <v>42</v>
      </c>
      <c r="S4" s="37">
        <f>R4/SUM(R3:R5)</f>
        <v>0.35897435897435898</v>
      </c>
      <c r="V4" s="42" t="s">
        <v>206</v>
      </c>
      <c r="W4" s="23"/>
      <c r="X4" s="43"/>
      <c r="Y4" s="44"/>
      <c r="Z4" s="45"/>
      <c r="AB4" s="25"/>
    </row>
    <row r="5" spans="2:28" ht="15.75" thickBot="1" x14ac:dyDescent="0.3">
      <c r="B5" s="25"/>
      <c r="C5" s="4" t="s">
        <v>14</v>
      </c>
      <c r="D5" s="32">
        <f>COUNTIF(Aspects[Bonté],"Mauvais")</f>
        <v>15</v>
      </c>
      <c r="E5" s="38">
        <f>D5/SUM($D$3:$D$5)</f>
        <v>0.41666666666666669</v>
      </c>
      <c r="G5" s="7" t="s">
        <v>41</v>
      </c>
      <c r="H5">
        <v>1</v>
      </c>
      <c r="I5">
        <v>1</v>
      </c>
      <c r="J5">
        <v>2</v>
      </c>
      <c r="N5" s="26"/>
      <c r="P5" s="25"/>
      <c r="Q5" s="4" t="s">
        <v>203</v>
      </c>
      <c r="R5" s="32">
        <f>COUNTIF(Sorts[Rang],"3")</f>
        <v>27</v>
      </c>
      <c r="S5" s="38">
        <f>R5/SUM(R3:R5)</f>
        <v>0.23076923076923078</v>
      </c>
      <c r="V5" s="25"/>
      <c r="W5" s="48" t="s">
        <v>128</v>
      </c>
      <c r="X5" s="59" t="s">
        <v>112</v>
      </c>
      <c r="Y5" s="49" t="s">
        <v>119</v>
      </c>
      <c r="Z5" s="60" t="s">
        <v>205</v>
      </c>
      <c r="AB5" s="25"/>
    </row>
    <row r="6" spans="2:28" ht="15.75" thickBot="1" x14ac:dyDescent="0.3">
      <c r="B6" s="25"/>
      <c r="G6" s="7" t="s">
        <v>38</v>
      </c>
      <c r="H6">
        <v>1</v>
      </c>
      <c r="I6">
        <v>1</v>
      </c>
      <c r="J6">
        <v>3</v>
      </c>
      <c r="L6" t="s">
        <v>82</v>
      </c>
      <c r="M6" s="17">
        <v>0.2</v>
      </c>
      <c r="N6" s="26"/>
      <c r="P6" s="25"/>
      <c r="V6" s="57">
        <v>1</v>
      </c>
      <c r="W6" s="22">
        <v>5</v>
      </c>
      <c r="X6" s="23">
        <v>9</v>
      </c>
      <c r="Y6" s="23">
        <v>15</v>
      </c>
      <c r="Z6" s="24">
        <v>29</v>
      </c>
      <c r="AB6" s="25"/>
    </row>
    <row r="7" spans="2:28" ht="15.75" thickBot="1" x14ac:dyDescent="0.3">
      <c r="B7" s="25"/>
      <c r="G7" s="7" t="s">
        <v>42</v>
      </c>
      <c r="H7">
        <v>1</v>
      </c>
      <c r="I7">
        <v>1</v>
      </c>
      <c r="J7">
        <v>3</v>
      </c>
      <c r="N7" s="26"/>
      <c r="P7" s="25"/>
      <c r="Q7" s="5" t="s">
        <v>204</v>
      </c>
      <c r="R7" s="31">
        <f>COUNTIF(Sorts[Type],"Precision")</f>
        <v>22</v>
      </c>
      <c r="S7" s="36">
        <f>R7/SUM(R7:R9)</f>
        <v>0.27160493827160492</v>
      </c>
      <c r="V7" s="58" t="s">
        <v>134</v>
      </c>
      <c r="W7" s="25"/>
      <c r="X7">
        <v>1</v>
      </c>
      <c r="Y7">
        <v>2</v>
      </c>
      <c r="Z7" s="26">
        <v>3</v>
      </c>
      <c r="AB7" s="25"/>
    </row>
    <row r="8" spans="2:28" x14ac:dyDescent="0.25">
      <c r="B8" s="25"/>
      <c r="C8" s="5" t="s">
        <v>12</v>
      </c>
      <c r="D8" s="31">
        <f>COUNTIF(Aspects[Loyauté],"Loyal")</f>
        <v>9</v>
      </c>
      <c r="E8" s="36">
        <f>D8/SUM($D$8:$D$10)</f>
        <v>0.25</v>
      </c>
      <c r="G8" s="7" t="s">
        <v>37</v>
      </c>
      <c r="H8">
        <v>1</v>
      </c>
      <c r="I8">
        <v>3</v>
      </c>
      <c r="J8">
        <v>1</v>
      </c>
      <c r="L8" t="s">
        <v>83</v>
      </c>
      <c r="M8" s="17">
        <v>0.3</v>
      </c>
      <c r="N8" s="26"/>
      <c r="P8" s="25"/>
      <c r="Q8" s="3" t="s">
        <v>119</v>
      </c>
      <c r="R8" s="30">
        <f>COUNTIF(Sorts[Type],"Savoir")</f>
        <v>36</v>
      </c>
      <c r="S8" s="37">
        <f>R8/SUM(R7:R9)</f>
        <v>0.44444444444444442</v>
      </c>
      <c r="V8" s="53" t="s">
        <v>133</v>
      </c>
      <c r="W8" s="25"/>
      <c r="Y8">
        <v>4</v>
      </c>
      <c r="Z8" s="26">
        <v>4</v>
      </c>
      <c r="AB8" s="25"/>
    </row>
    <row r="9" spans="2:28" ht="15.75" thickBot="1" x14ac:dyDescent="0.3">
      <c r="B9" s="25"/>
      <c r="C9" s="3" t="s">
        <v>5</v>
      </c>
      <c r="D9" s="30">
        <f>COUNTIF(Aspects[Loyauté],"Neutre")</f>
        <v>15</v>
      </c>
      <c r="E9" s="37">
        <f>D9/SUM($D$8:$D$10)</f>
        <v>0.41666666666666669</v>
      </c>
      <c r="G9" s="7" t="s">
        <v>40</v>
      </c>
      <c r="H9">
        <v>1</v>
      </c>
      <c r="I9">
        <v>2</v>
      </c>
      <c r="J9">
        <v>3</v>
      </c>
      <c r="N9" s="26"/>
      <c r="P9" s="25"/>
      <c r="Q9" s="4" t="s">
        <v>128</v>
      </c>
      <c r="R9" s="32">
        <f>COUNTIF(Sorts[Type],"Instinct")</f>
        <v>23</v>
      </c>
      <c r="S9" s="38">
        <f>R9/SUM(R7:R9)</f>
        <v>0.2839506172839506</v>
      </c>
      <c r="V9" s="53" t="s">
        <v>113</v>
      </c>
      <c r="W9" s="25"/>
      <c r="X9">
        <v>2</v>
      </c>
      <c r="Y9">
        <v>3</v>
      </c>
      <c r="Z9" s="26">
        <v>5</v>
      </c>
      <c r="AB9" s="25"/>
    </row>
    <row r="10" spans="2:28" ht="15.75" thickBot="1" x14ac:dyDescent="0.3">
      <c r="B10" s="25"/>
      <c r="C10" s="4" t="s">
        <v>13</v>
      </c>
      <c r="D10" s="32">
        <f>COUNTIF(Aspects[Loyauté],"Chaotique")</f>
        <v>12</v>
      </c>
      <c r="E10" s="38">
        <f>D10/SUM($D$8:$D$10)</f>
        <v>0.33333333333333331</v>
      </c>
      <c r="G10" s="7" t="s">
        <v>43</v>
      </c>
      <c r="H10">
        <v>1</v>
      </c>
      <c r="I10">
        <v>4</v>
      </c>
      <c r="J10">
        <v>1</v>
      </c>
      <c r="N10" s="26"/>
      <c r="P10" s="25"/>
      <c r="V10" s="53" t="s">
        <v>131</v>
      </c>
      <c r="W10" s="25"/>
      <c r="X10">
        <v>2</v>
      </c>
      <c r="Y10">
        <v>1</v>
      </c>
      <c r="Z10" s="26">
        <v>3</v>
      </c>
      <c r="AB10" s="25"/>
    </row>
    <row r="11" spans="2:28" x14ac:dyDescent="0.25">
      <c r="B11" s="25"/>
      <c r="G11" s="7" t="s">
        <v>39</v>
      </c>
      <c r="I11">
        <v>3</v>
      </c>
      <c r="J11">
        <v>2</v>
      </c>
      <c r="N11" s="26"/>
      <c r="P11" s="25"/>
      <c r="Q11" s="5" t="s">
        <v>113</v>
      </c>
      <c r="R11" s="33">
        <f>COUNTIF(Sorts[Element],"Feu")</f>
        <v>14</v>
      </c>
      <c r="S11" s="39">
        <f>R11/SUM(R11:R19)</f>
        <v>0.11965811965811966</v>
      </c>
      <c r="V11" s="53" t="s">
        <v>130</v>
      </c>
      <c r="W11" s="25">
        <v>1</v>
      </c>
      <c r="X11">
        <v>1</v>
      </c>
      <c r="Z11" s="26">
        <v>2</v>
      </c>
      <c r="AB11" s="25"/>
    </row>
    <row r="12" spans="2:28" ht="15.75" thickBot="1" x14ac:dyDescent="0.3">
      <c r="B12" s="25"/>
      <c r="N12" s="26"/>
      <c r="P12" s="25"/>
      <c r="Q12" s="3" t="s">
        <v>130</v>
      </c>
      <c r="R12" s="34">
        <f>COUNTIF(Sorts[Element],"Glace")</f>
        <v>14</v>
      </c>
      <c r="S12" s="40">
        <f>R12/SUM(R11:R19)</f>
        <v>0.11965811965811966</v>
      </c>
      <c r="V12" s="53" t="s">
        <v>135</v>
      </c>
      <c r="W12" s="25">
        <v>1</v>
      </c>
      <c r="Y12">
        <v>2</v>
      </c>
      <c r="Z12" s="26">
        <v>3</v>
      </c>
      <c r="AB12" s="25"/>
    </row>
    <row r="13" spans="2:28" x14ac:dyDescent="0.25">
      <c r="B13" s="25"/>
      <c r="C13" s="5" t="s">
        <v>37</v>
      </c>
      <c r="D13" s="31">
        <f>COUNTIF(Aspects[Stat améliorée],"Force")</f>
        <v>5</v>
      </c>
      <c r="E13" s="36">
        <f t="shared" ref="E13:E19" si="0">D13/SUM($D$13:$D$19)</f>
        <v>0.1388888888888889</v>
      </c>
      <c r="G13" s="6" t="s">
        <v>69</v>
      </c>
      <c r="H13" s="6" t="s">
        <v>70</v>
      </c>
      <c r="N13" s="26"/>
      <c r="P13" s="25"/>
      <c r="Q13" s="3" t="s">
        <v>131</v>
      </c>
      <c r="R13" s="34">
        <f>COUNTIF(Sorts[Element],"Foudre")</f>
        <v>14</v>
      </c>
      <c r="S13" s="40">
        <f>R13/SUM(R11:R19)</f>
        <v>0.11965811965811966</v>
      </c>
      <c r="V13" s="53" t="s">
        <v>136</v>
      </c>
      <c r="W13" s="25">
        <v>1</v>
      </c>
      <c r="X13">
        <v>1</v>
      </c>
      <c r="Y13">
        <v>1</v>
      </c>
      <c r="Z13" s="26">
        <v>3</v>
      </c>
      <c r="AB13" s="25"/>
    </row>
    <row r="14" spans="2:28" x14ac:dyDescent="0.25">
      <c r="B14" s="25"/>
      <c r="C14" s="3" t="s">
        <v>38</v>
      </c>
      <c r="D14" s="30">
        <f>COUNTIF(Aspects[Stat améliorée],"Dextérité")</f>
        <v>5</v>
      </c>
      <c r="E14" s="37">
        <f t="shared" si="0"/>
        <v>0.1388888888888889</v>
      </c>
      <c r="G14" s="6" t="s">
        <v>70</v>
      </c>
      <c r="H14" t="s">
        <v>13</v>
      </c>
      <c r="I14" t="s">
        <v>12</v>
      </c>
      <c r="J14" t="s">
        <v>5</v>
      </c>
      <c r="N14" s="26"/>
      <c r="P14" s="25"/>
      <c r="Q14" s="3" t="s">
        <v>132</v>
      </c>
      <c r="R14" s="34">
        <f>COUNTIF(Sorts[Element],"Terre")</f>
        <v>14</v>
      </c>
      <c r="S14" s="40">
        <f>R14/SUM(R11:R19)</f>
        <v>0.11965811965811966</v>
      </c>
      <c r="V14" s="53" t="s">
        <v>137</v>
      </c>
      <c r="W14" s="25">
        <v>1</v>
      </c>
      <c r="Z14" s="26">
        <v>1</v>
      </c>
      <c r="AB14" s="25"/>
    </row>
    <row r="15" spans="2:28" x14ac:dyDescent="0.25">
      <c r="B15" s="25"/>
      <c r="C15" s="3" t="s">
        <v>39</v>
      </c>
      <c r="D15" s="30">
        <f>COUNTIF(Aspects[Stat améliorée],"Résilience")</f>
        <v>5</v>
      </c>
      <c r="E15" s="37">
        <f t="shared" si="0"/>
        <v>0.1388888888888889</v>
      </c>
      <c r="G15" s="7" t="s">
        <v>41</v>
      </c>
      <c r="I15">
        <v>1</v>
      </c>
      <c r="J15">
        <v>3</v>
      </c>
      <c r="N15" s="26"/>
      <c r="P15" s="25"/>
      <c r="Q15" s="3" t="s">
        <v>133</v>
      </c>
      <c r="R15" s="34">
        <f>COUNTIF(Sorts[Element],"Arcane")</f>
        <v>15</v>
      </c>
      <c r="S15" s="40">
        <f>R15/SUM(R11:R19)</f>
        <v>0.12820512820512819</v>
      </c>
      <c r="V15" s="54" t="s">
        <v>132</v>
      </c>
      <c r="W15" s="25">
        <v>1</v>
      </c>
      <c r="X15">
        <v>2</v>
      </c>
      <c r="Y15">
        <v>2</v>
      </c>
      <c r="Z15" s="26">
        <v>5</v>
      </c>
      <c r="AB15" s="25"/>
    </row>
    <row r="16" spans="2:28" x14ac:dyDescent="0.25">
      <c r="B16" s="25"/>
      <c r="C16" s="3" t="s">
        <v>40</v>
      </c>
      <c r="D16" s="30">
        <f>COUNTIF(Aspects[Stat améliorée],"Intelligence")</f>
        <v>6</v>
      </c>
      <c r="E16" s="37">
        <f t="shared" si="0"/>
        <v>0.16666666666666666</v>
      </c>
      <c r="G16" s="7" t="s">
        <v>38</v>
      </c>
      <c r="H16">
        <v>2</v>
      </c>
      <c r="I16">
        <v>1</v>
      </c>
      <c r="J16">
        <v>2</v>
      </c>
      <c r="N16" s="26"/>
      <c r="P16" s="25"/>
      <c r="Q16" s="3" t="s">
        <v>134</v>
      </c>
      <c r="R16" s="34">
        <f>COUNTIF(Sorts[Element],"Air")</f>
        <v>14</v>
      </c>
      <c r="S16" s="40">
        <f>R16/SUM(R11:R19)</f>
        <v>0.11965811965811966</v>
      </c>
      <c r="V16" s="57">
        <v>2</v>
      </c>
      <c r="W16" s="25">
        <v>6</v>
      </c>
      <c r="X16">
        <v>7</v>
      </c>
      <c r="Y16">
        <v>11</v>
      </c>
      <c r="Z16" s="26">
        <v>24</v>
      </c>
      <c r="AB16" s="25"/>
    </row>
    <row r="17" spans="2:28" x14ac:dyDescent="0.25">
      <c r="B17" s="25"/>
      <c r="C17" s="3" t="s">
        <v>41</v>
      </c>
      <c r="D17" s="30">
        <f>COUNTIF(Aspects[Stat améliorée],"Curiosité")</f>
        <v>4</v>
      </c>
      <c r="E17" s="37">
        <f t="shared" si="0"/>
        <v>0.1111111111111111</v>
      </c>
      <c r="G17" s="7" t="s">
        <v>42</v>
      </c>
      <c r="H17">
        <v>1</v>
      </c>
      <c r="I17">
        <v>2</v>
      </c>
      <c r="J17">
        <v>2</v>
      </c>
      <c r="N17" s="26"/>
      <c r="P17" s="25"/>
      <c r="Q17" s="3" t="s">
        <v>136</v>
      </c>
      <c r="R17" s="34">
        <f>COUNTIF(Sorts[Element],"Nature")</f>
        <v>11</v>
      </c>
      <c r="S17" s="40">
        <f>R17/SUM(R11:R19)</f>
        <v>9.4017094017094016E-2</v>
      </c>
      <c r="V17" s="58" t="s">
        <v>134</v>
      </c>
      <c r="W17" s="25">
        <v>1</v>
      </c>
      <c r="X17">
        <v>2</v>
      </c>
      <c r="Y17">
        <v>1</v>
      </c>
      <c r="Z17" s="26">
        <v>4</v>
      </c>
      <c r="AB17" s="25"/>
    </row>
    <row r="18" spans="2:28" x14ac:dyDescent="0.25">
      <c r="B18" s="25"/>
      <c r="C18" s="3" t="s">
        <v>42</v>
      </c>
      <c r="D18" s="30">
        <f>COUNTIF(Aspects[Stat améliorée],"Éloquence")</f>
        <v>5</v>
      </c>
      <c r="E18" s="37">
        <f t="shared" si="0"/>
        <v>0.1388888888888889</v>
      </c>
      <c r="G18" s="7" t="s">
        <v>37</v>
      </c>
      <c r="H18">
        <v>2</v>
      </c>
      <c r="I18">
        <v>1</v>
      </c>
      <c r="J18">
        <v>2</v>
      </c>
      <c r="N18" s="26"/>
      <c r="P18" s="25"/>
      <c r="Q18" s="3" t="s">
        <v>135</v>
      </c>
      <c r="R18" s="34">
        <f>COUNTIF(Sorts[Element],"Lumière")</f>
        <v>11</v>
      </c>
      <c r="S18" s="40">
        <f>R18/SUM(R11:R19)</f>
        <v>9.4017094017094016E-2</v>
      </c>
      <c r="V18" s="53" t="s">
        <v>133</v>
      </c>
      <c r="W18" s="25">
        <v>1</v>
      </c>
      <c r="X18">
        <v>1</v>
      </c>
      <c r="Y18">
        <v>2</v>
      </c>
      <c r="Z18" s="26">
        <v>4</v>
      </c>
      <c r="AB18" s="25"/>
    </row>
    <row r="19" spans="2:28" ht="15.75" thickBot="1" x14ac:dyDescent="0.3">
      <c r="B19" s="25"/>
      <c r="C19" s="4" t="s">
        <v>43</v>
      </c>
      <c r="D19" s="32">
        <f>COUNTIF(Aspects[Stat améliorée],"Psyché")</f>
        <v>6</v>
      </c>
      <c r="E19" s="38">
        <f t="shared" si="0"/>
        <v>0.16666666666666666</v>
      </c>
      <c r="G19" s="7" t="s">
        <v>40</v>
      </c>
      <c r="H19">
        <v>3</v>
      </c>
      <c r="I19">
        <v>2</v>
      </c>
      <c r="J19">
        <v>1</v>
      </c>
      <c r="N19" s="26"/>
      <c r="P19" s="25"/>
      <c r="Q19" s="4" t="s">
        <v>137</v>
      </c>
      <c r="R19" s="35">
        <f>COUNTIF(Sorts[Element],"Psy")</f>
        <v>10</v>
      </c>
      <c r="S19" s="41">
        <f>R19/SUM(R11:R19)</f>
        <v>8.5470085470085472E-2</v>
      </c>
      <c r="V19" s="53" t="s">
        <v>113</v>
      </c>
      <c r="W19" s="25"/>
      <c r="X19">
        <v>1</v>
      </c>
      <c r="Y19">
        <v>1</v>
      </c>
      <c r="Z19" s="26">
        <v>2</v>
      </c>
      <c r="AB19" s="25"/>
    </row>
    <row r="20" spans="2:28" x14ac:dyDescent="0.25">
      <c r="B20" s="25"/>
      <c r="G20" s="7" t="s">
        <v>43</v>
      </c>
      <c r="H20">
        <v>1</v>
      </c>
      <c r="I20">
        <v>1</v>
      </c>
      <c r="J20">
        <v>4</v>
      </c>
      <c r="N20" s="26"/>
      <c r="P20" s="25"/>
      <c r="V20" s="53" t="s">
        <v>131</v>
      </c>
      <c r="W20" s="25">
        <v>1</v>
      </c>
      <c r="X20">
        <v>1</v>
      </c>
      <c r="Z20" s="26">
        <v>2</v>
      </c>
      <c r="AB20" s="25"/>
    </row>
    <row r="21" spans="2:28" x14ac:dyDescent="0.25">
      <c r="B21" s="25"/>
      <c r="G21" s="7" t="s">
        <v>39</v>
      </c>
      <c r="H21">
        <v>3</v>
      </c>
      <c r="I21">
        <v>1</v>
      </c>
      <c r="J21">
        <v>1</v>
      </c>
      <c r="N21" s="26"/>
      <c r="P21" s="25"/>
      <c r="Q21" s="56" t="s">
        <v>74</v>
      </c>
      <c r="R21" s="45" t="s">
        <v>210</v>
      </c>
      <c r="V21" s="53" t="s">
        <v>130</v>
      </c>
      <c r="W21" s="25"/>
      <c r="X21">
        <v>1</v>
      </c>
      <c r="Y21">
        <v>2</v>
      </c>
      <c r="Z21" s="26">
        <v>3</v>
      </c>
      <c r="AB21" s="25"/>
    </row>
    <row r="22" spans="2:28" x14ac:dyDescent="0.25">
      <c r="B22" s="27"/>
      <c r="C22" s="28"/>
      <c r="D22" s="28"/>
      <c r="E22" s="28"/>
      <c r="F22" s="28"/>
      <c r="G22" s="28"/>
      <c r="H22" s="28"/>
      <c r="I22" s="28"/>
      <c r="J22" s="28"/>
      <c r="K22" s="28"/>
      <c r="L22" s="28"/>
      <c r="M22" s="28"/>
      <c r="N22" s="29"/>
      <c r="P22" s="25"/>
      <c r="V22" s="53" t="s">
        <v>135</v>
      </c>
      <c r="W22" s="25"/>
      <c r="Y22">
        <v>2</v>
      </c>
      <c r="Z22" s="26">
        <v>2</v>
      </c>
      <c r="AB22" s="25"/>
    </row>
    <row r="23" spans="2:28" x14ac:dyDescent="0.25">
      <c r="P23" s="25"/>
      <c r="Q23" s="47" t="s">
        <v>69</v>
      </c>
      <c r="R23" s="46"/>
      <c r="S23" s="48"/>
      <c r="T23" s="49"/>
      <c r="V23" s="53" t="s">
        <v>136</v>
      </c>
      <c r="W23" s="25">
        <v>1</v>
      </c>
      <c r="Y23">
        <v>1</v>
      </c>
      <c r="Z23" s="26">
        <v>2</v>
      </c>
      <c r="AB23" s="25"/>
    </row>
    <row r="24" spans="2:28" x14ac:dyDescent="0.25">
      <c r="P24" s="25"/>
      <c r="Q24" s="34"/>
      <c r="R24" s="61" t="s">
        <v>128</v>
      </c>
      <c r="S24" s="62" t="s">
        <v>112</v>
      </c>
      <c r="T24" s="63" t="s">
        <v>119</v>
      </c>
      <c r="V24" s="53" t="s">
        <v>137</v>
      </c>
      <c r="W24" s="25">
        <v>2</v>
      </c>
      <c r="Y24">
        <v>1</v>
      </c>
      <c r="Z24" s="26">
        <v>3</v>
      </c>
      <c r="AB24" s="25"/>
    </row>
    <row r="25" spans="2:28" x14ac:dyDescent="0.25">
      <c r="P25" s="25"/>
      <c r="Q25" s="50">
        <v>1</v>
      </c>
      <c r="R25" s="22">
        <v>5</v>
      </c>
      <c r="S25" s="23">
        <v>9</v>
      </c>
      <c r="T25" s="24">
        <v>15</v>
      </c>
      <c r="V25" s="54" t="s">
        <v>132</v>
      </c>
      <c r="W25" s="25"/>
      <c r="X25">
        <v>1</v>
      </c>
      <c r="Y25">
        <v>1</v>
      </c>
      <c r="Z25" s="26">
        <v>2</v>
      </c>
      <c r="AB25" s="25"/>
    </row>
    <row r="26" spans="2:28" x14ac:dyDescent="0.25">
      <c r="P26" s="25"/>
      <c r="Q26" s="51">
        <v>2</v>
      </c>
      <c r="R26" s="25">
        <v>6</v>
      </c>
      <c r="S26">
        <v>7</v>
      </c>
      <c r="T26" s="26">
        <v>11</v>
      </c>
      <c r="V26" s="57">
        <v>3</v>
      </c>
      <c r="W26" s="25">
        <v>2</v>
      </c>
      <c r="X26">
        <v>1</v>
      </c>
      <c r="Y26">
        <v>4</v>
      </c>
      <c r="Z26" s="26">
        <v>7</v>
      </c>
      <c r="AB26" s="25"/>
    </row>
    <row r="27" spans="2:28" x14ac:dyDescent="0.25">
      <c r="P27" s="25"/>
      <c r="Q27" s="52">
        <v>3</v>
      </c>
      <c r="R27" s="27">
        <v>2</v>
      </c>
      <c r="S27" s="28">
        <v>1</v>
      </c>
      <c r="T27" s="29">
        <v>4</v>
      </c>
      <c r="V27" s="58" t="s">
        <v>133</v>
      </c>
      <c r="W27" s="25">
        <v>1</v>
      </c>
      <c r="Y27">
        <v>1</v>
      </c>
      <c r="Z27" s="26">
        <v>2</v>
      </c>
      <c r="AB27" s="25"/>
    </row>
    <row r="28" spans="2:28" x14ac:dyDescent="0.25">
      <c r="P28" s="25"/>
      <c r="V28" s="53" t="s">
        <v>113</v>
      </c>
      <c r="W28" s="25"/>
      <c r="Y28">
        <v>1</v>
      </c>
      <c r="Z28" s="26">
        <v>1</v>
      </c>
      <c r="AB28" s="25"/>
    </row>
    <row r="29" spans="2:28" x14ac:dyDescent="0.25">
      <c r="P29" s="25"/>
      <c r="V29" s="53" t="s">
        <v>131</v>
      </c>
      <c r="W29" s="25"/>
      <c r="X29">
        <v>1</v>
      </c>
      <c r="Z29" s="26">
        <v>1</v>
      </c>
      <c r="AB29" s="25"/>
    </row>
    <row r="30" spans="2:28" x14ac:dyDescent="0.25">
      <c r="P30" s="25"/>
      <c r="V30" s="53" t="s">
        <v>130</v>
      </c>
      <c r="W30" s="25">
        <v>1</v>
      </c>
      <c r="Z30" s="26">
        <v>1</v>
      </c>
      <c r="AB30" s="25"/>
    </row>
    <row r="31" spans="2:28" x14ac:dyDescent="0.25">
      <c r="P31" s="25"/>
      <c r="V31" s="53" t="s">
        <v>135</v>
      </c>
      <c r="W31" s="25"/>
      <c r="Y31">
        <v>1</v>
      </c>
      <c r="Z31" s="26">
        <v>1</v>
      </c>
      <c r="AB31" s="25"/>
    </row>
    <row r="32" spans="2:28" x14ac:dyDescent="0.25">
      <c r="P32" s="25"/>
      <c r="V32" s="54" t="s">
        <v>132</v>
      </c>
      <c r="W32" s="27"/>
      <c r="X32" s="28"/>
      <c r="Y32" s="28">
        <v>1</v>
      </c>
      <c r="Z32" s="29">
        <v>1</v>
      </c>
      <c r="AB32" s="25"/>
    </row>
    <row r="33" spans="16:28" x14ac:dyDescent="0.25">
      <c r="P33" s="25"/>
      <c r="AB33" s="25"/>
    </row>
    <row r="34" spans="16:28" x14ac:dyDescent="0.25">
      <c r="P34" s="25"/>
      <c r="AB34" s="25"/>
    </row>
    <row r="35" spans="16:28" x14ac:dyDescent="0.25">
      <c r="P35" s="25"/>
      <c r="AB35" s="25"/>
    </row>
    <row r="36" spans="16:28" x14ac:dyDescent="0.25">
      <c r="P36" s="25"/>
      <c r="AB36" s="25"/>
    </row>
    <row r="37" spans="16:28" x14ac:dyDescent="0.25">
      <c r="P37" s="25"/>
      <c r="AB37" s="25"/>
    </row>
    <row r="38" spans="16:28" x14ac:dyDescent="0.25">
      <c r="P38" s="25"/>
      <c r="AB38" s="25"/>
    </row>
    <row r="39" spans="16:28" x14ac:dyDescent="0.25">
      <c r="P39" s="25"/>
      <c r="AB39" s="25"/>
    </row>
    <row r="40" spans="16:28" x14ac:dyDescent="0.25">
      <c r="P40" s="25"/>
      <c r="AB40" s="25"/>
    </row>
    <row r="41" spans="16:28" x14ac:dyDescent="0.25">
      <c r="P41" s="25"/>
      <c r="AB41" s="25"/>
    </row>
    <row r="42" spans="16:28" x14ac:dyDescent="0.25">
      <c r="P42" s="27"/>
      <c r="Q42" s="28"/>
      <c r="R42" s="28"/>
      <c r="S42" s="28"/>
      <c r="T42" s="28"/>
      <c r="U42" s="28"/>
      <c r="V42" s="28"/>
      <c r="W42" s="28"/>
      <c r="X42" s="28"/>
      <c r="Y42" s="28"/>
      <c r="Z42" s="28"/>
      <c r="AA42" s="28"/>
      <c r="AB42" s="25"/>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F41D26-0B6C-4A72-A1A8-CF318E525015}">
  <dimension ref="A1:W37"/>
  <sheetViews>
    <sheetView zoomScaleNormal="100" workbookViewId="0">
      <selection activeCell="O9" sqref="O9"/>
    </sheetView>
  </sheetViews>
  <sheetFormatPr baseColWidth="10" defaultRowHeight="15" x14ac:dyDescent="0.25"/>
  <cols>
    <col min="1" max="1" width="15.140625" customWidth="1"/>
    <col min="2" max="2" width="13.7109375" bestFit="1" customWidth="1"/>
    <col min="3" max="3" width="12.7109375" style="12" hidden="1" customWidth="1"/>
    <col min="4" max="4" width="13" style="12" hidden="1" customWidth="1"/>
    <col min="5" max="5" width="12" style="12" bestFit="1" customWidth="1"/>
    <col min="6" max="6" width="13.5703125" style="12" hidden="1" customWidth="1"/>
    <col min="7" max="7" width="13.85546875" style="12" hidden="1" customWidth="1"/>
    <col min="8" max="8" width="15.140625" style="12" bestFit="1" customWidth="1"/>
    <col min="9" max="9" width="12.7109375" style="12" hidden="1" customWidth="1"/>
    <col min="10" max="10" width="13" style="12" hidden="1" customWidth="1"/>
    <col min="11" max="11" width="11.42578125" style="12" hidden="1" customWidth="1"/>
    <col min="12" max="12" width="11.7109375" hidden="1" customWidth="1"/>
    <col min="13" max="13" width="13.28515625" hidden="1" customWidth="1"/>
    <col min="14" max="14" width="11.5703125" customWidth="1"/>
    <col min="15" max="15" width="15.140625" customWidth="1"/>
    <col min="16" max="16" width="18" bestFit="1" customWidth="1"/>
    <col min="17" max="17" width="8.5703125" hidden="1" customWidth="1"/>
    <col min="18" max="18" width="7" hidden="1" customWidth="1"/>
    <col min="19" max="19" width="2.85546875" customWidth="1"/>
    <col min="20" max="20" width="6.85546875" bestFit="1" customWidth="1"/>
    <col min="21" max="21" width="7.140625" bestFit="1" customWidth="1"/>
    <col min="22" max="22" width="8.7109375" bestFit="1" customWidth="1"/>
    <col min="23" max="23" width="45.28515625" bestFit="1" customWidth="1"/>
    <col min="24" max="24" width="11.42578125" customWidth="1"/>
  </cols>
  <sheetData>
    <row r="1" spans="1:23" x14ac:dyDescent="0.25">
      <c r="A1" t="s">
        <v>32</v>
      </c>
      <c r="B1" s="15" t="s">
        <v>33</v>
      </c>
      <c r="C1" s="12" t="s">
        <v>64</v>
      </c>
      <c r="D1" s="12" t="s">
        <v>27</v>
      </c>
      <c r="E1" s="15" t="s">
        <v>34</v>
      </c>
      <c r="F1" s="12" t="s">
        <v>28</v>
      </c>
      <c r="G1" s="12" t="s">
        <v>29</v>
      </c>
      <c r="H1" s="15" t="s">
        <v>35</v>
      </c>
      <c r="I1" s="12" t="s">
        <v>30</v>
      </c>
      <c r="J1" s="12" t="s">
        <v>31</v>
      </c>
      <c r="K1" s="11" t="s">
        <v>65</v>
      </c>
      <c r="L1" s="11" t="s">
        <v>67</v>
      </c>
      <c r="M1" s="11" t="s">
        <v>68</v>
      </c>
      <c r="N1" s="12" t="s">
        <v>77</v>
      </c>
      <c r="O1" t="s">
        <v>75</v>
      </c>
      <c r="P1" t="s">
        <v>3</v>
      </c>
      <c r="Q1" s="11" t="s">
        <v>1</v>
      </c>
      <c r="R1" s="11" t="s">
        <v>2</v>
      </c>
      <c r="S1" t="s">
        <v>36</v>
      </c>
      <c r="T1" t="s">
        <v>72</v>
      </c>
      <c r="U1" t="s">
        <v>73</v>
      </c>
      <c r="V1" t="s">
        <v>71</v>
      </c>
      <c r="W1" t="s">
        <v>74</v>
      </c>
    </row>
    <row r="2" spans="1:23" x14ac:dyDescent="0.25">
      <c r="A2" s="1" t="s">
        <v>18</v>
      </c>
      <c r="B2" s="16" t="str">
        <f>Aspects[[#This Row],[Phy min]] &amp; " - " &amp; Aspects[[#This Row],[Phy max]]</f>
        <v>18 - 25</v>
      </c>
      <c r="C2" s="13">
        <v>18</v>
      </c>
      <c r="D2" s="13">
        <v>25</v>
      </c>
      <c r="E2" s="16" t="str">
        <f>Aspects[[#This Row],[Men min]] &amp; " - " &amp; Aspects[[#This Row],[Men max]]</f>
        <v>8 - 12</v>
      </c>
      <c r="F2" s="13">
        <v>8</v>
      </c>
      <c r="G2" s="13">
        <v>12</v>
      </c>
      <c r="H2" s="16" t="str">
        <f>Aspects[[#This Row],[Cha min]] &amp; " - " &amp; Aspects[[#This Row],[Cha max]]</f>
        <v>8 - 12</v>
      </c>
      <c r="I2" s="13">
        <v>8</v>
      </c>
      <c r="J2" s="13">
        <v>12</v>
      </c>
      <c r="K2" s="14">
        <f>Aspects[[#This Row],[Phy min]]+Aspects[[#This Row],[Men min]]+Aspects[[#This Row],[Cha min]]</f>
        <v>34</v>
      </c>
      <c r="L2" s="14">
        <f>Aspects[[#This Row],[Phy max]]+Aspects[[#This Row],[Men max]]+Aspects[[#This Row],[Cha max]]</f>
        <v>49</v>
      </c>
      <c r="M2" s="14">
        <f>MAX(Aspects[[#This Row],[Max stats]]-Aspects[[#This Row],[Min stats]],0)</f>
        <v>15</v>
      </c>
      <c r="N2" s="12">
        <f>ROUNDUP(AVERAGE(Aspects[[#This Row],[Phy min]:[Phy max]])*WPHYSIC+AVERAGE(Aspects[[#This Row],[Men min]:[Men max]])*WMENTAL+AVERAGE(Aspects[[#This Row],[Cha min]:[Cha max]])*WCHARAC,0)</f>
        <v>9</v>
      </c>
      <c r="O2" s="2" t="s">
        <v>37</v>
      </c>
      <c r="P2" s="1" t="s">
        <v>7</v>
      </c>
      <c r="Q2" s="10" t="str">
        <f>IFERROR(VLOOKUP(Aspects[[#This Row],[Alignement]],Alignement[],2,FALSE),"")</f>
        <v>Bon</v>
      </c>
      <c r="R2" s="10" t="str">
        <f>IFERROR(VLOOKUP(Aspects[[#This Row],[Alignement]],Alignement[],3,FALSE),"")</f>
        <v>Neutre</v>
      </c>
      <c r="S2" s="8">
        <f>IF(Aspects[[#This Row],[Men min]]&lt;8,0,1)</f>
        <v>1</v>
      </c>
      <c r="T2" s="8">
        <f>IF(OR(AND(Aspects[[#This Row],[Min stats]]&lt;=35,Aspects[[#This Row],[Loyauté]]&lt;&gt;"Loyal"),AND(Aspects[[#This Row],[Min stats]]&lt;=25,Aspects[[#This Row],[Loyauté]]="Loyal")),1,0)</f>
        <v>1</v>
      </c>
      <c r="U2" s="8">
        <f>IF(Aspects[[#This Row],[Max stats]]&gt;=43,1,0)</f>
        <v>1</v>
      </c>
      <c r="V2" s="8">
        <f>IF(OR(AND(Aspects[[#This Row],[Range stats]]&gt;=15,Aspects[[#This Row],[Range stats]]&lt;=27,Aspects[[#This Row],[Loyauté]]&lt;&gt;"Loyal"),AND(Aspects[[#This Row],[Range stats]]&gt;=27,Aspects[[#This Row],[Range stats]]&lt;=40,Aspects[[#This Row],[Loyauté]]="Loyal")),1,0)</f>
        <v>1</v>
      </c>
      <c r="W2" s="9"/>
    </row>
    <row r="3" spans="1:23" x14ac:dyDescent="0.25">
      <c r="A3" s="1" t="s">
        <v>24</v>
      </c>
      <c r="B3" s="16" t="str">
        <f>Aspects[[#This Row],[Phy min]] &amp; " - " &amp; Aspects[[#This Row],[Phy max]]</f>
        <v>6 - 18</v>
      </c>
      <c r="C3" s="13">
        <v>6</v>
      </c>
      <c r="D3" s="13">
        <v>18</v>
      </c>
      <c r="E3" s="16" t="str">
        <f>Aspects[[#This Row],[Men min]] &amp; " - " &amp; Aspects[[#This Row],[Men max]]</f>
        <v>15 - 20</v>
      </c>
      <c r="F3" s="13">
        <v>15</v>
      </c>
      <c r="G3" s="13">
        <v>20</v>
      </c>
      <c r="H3" s="16" t="str">
        <f>Aspects[[#This Row],[Cha min]] &amp; " - " &amp; Aspects[[#This Row],[Cha max]]</f>
        <v>10 - 20</v>
      </c>
      <c r="I3" s="13">
        <v>10</v>
      </c>
      <c r="J3" s="13">
        <v>20</v>
      </c>
      <c r="K3" s="14">
        <f>Aspects[[#This Row],[Phy min]]+Aspects[[#This Row],[Men min]]+Aspects[[#This Row],[Cha min]]</f>
        <v>31</v>
      </c>
      <c r="L3" s="14">
        <f>Aspects[[#This Row],[Phy max]]+Aspects[[#This Row],[Men max]]+Aspects[[#This Row],[Cha max]]</f>
        <v>58</v>
      </c>
      <c r="M3" s="14">
        <f>MAX(Aspects[[#This Row],[Max stats]]-Aspects[[#This Row],[Min stats]],0)</f>
        <v>27</v>
      </c>
      <c r="N3" s="12">
        <f>ROUNDUP(AVERAGE(Aspects[[#This Row],[Phy min]:[Phy max]])*WPHYSIC+AVERAGE(Aspects[[#This Row],[Men min]:[Men max]])*WMENTAL+AVERAGE(Aspects[[#This Row],[Cha min]:[Cha max]])*WCHARAC,0)</f>
        <v>10</v>
      </c>
      <c r="O3" s="2" t="s">
        <v>40</v>
      </c>
      <c r="P3" s="1" t="s">
        <v>4</v>
      </c>
      <c r="Q3" s="10" t="str">
        <f>IFERROR(VLOOKUP(Aspects[[#This Row],[Alignement]],Alignement[],2,FALSE),"")</f>
        <v>Neutre</v>
      </c>
      <c r="R3" s="10" t="str">
        <f>IFERROR(VLOOKUP(Aspects[[#This Row],[Alignement]],Alignement[],3,FALSE),"")</f>
        <v>Chaotique</v>
      </c>
      <c r="S3" s="8">
        <f>IF(Aspects[[#This Row],[Men min]]&lt;8,0,1)</f>
        <v>1</v>
      </c>
      <c r="T3" s="8">
        <f>IF(OR(AND(Aspects[[#This Row],[Min stats]]&lt;=35,Aspects[[#This Row],[Loyauté]]&lt;&gt;"Loyal"),AND(Aspects[[#This Row],[Min stats]]&lt;=25,Aspects[[#This Row],[Loyauté]]="Loyal")),1,0)</f>
        <v>1</v>
      </c>
      <c r="U3" s="8">
        <f>IF(Aspects[[#This Row],[Max stats]]&gt;=43,1,0)</f>
        <v>1</v>
      </c>
      <c r="V3" s="8">
        <f>IF(OR(AND(Aspects[[#This Row],[Range stats]]&gt;=15,Aspects[[#This Row],[Range stats]]&lt;=27,Aspects[[#This Row],[Loyauté]]&lt;&gt;"Loyal"),AND(Aspects[[#This Row],[Range stats]]&gt;=27,Aspects[[#This Row],[Range stats]]&lt;=40,Aspects[[#This Row],[Loyauté]]="Loyal")),1,0)</f>
        <v>1</v>
      </c>
      <c r="W3" s="9"/>
    </row>
    <row r="4" spans="1:23" x14ac:dyDescent="0.25">
      <c r="A4" s="1" t="s">
        <v>58</v>
      </c>
      <c r="B4" s="16" t="str">
        <f>Aspects[[#This Row],[Phy min]] &amp; " - " &amp; Aspects[[#This Row],[Phy max]]</f>
        <v>18 - 25</v>
      </c>
      <c r="C4" s="13">
        <v>18</v>
      </c>
      <c r="D4" s="13">
        <v>25</v>
      </c>
      <c r="E4" s="16" t="str">
        <f>Aspects[[#This Row],[Men min]] &amp; " - " &amp; Aspects[[#This Row],[Men max]]</f>
        <v>5 - 12</v>
      </c>
      <c r="F4" s="13">
        <v>5</v>
      </c>
      <c r="G4" s="13">
        <v>12</v>
      </c>
      <c r="H4" s="16" t="str">
        <f>Aspects[[#This Row],[Cha min]] &amp; " - " &amp; Aspects[[#This Row],[Cha max]]</f>
        <v>5 - 15</v>
      </c>
      <c r="I4" s="13">
        <v>5</v>
      </c>
      <c r="J4" s="13">
        <v>15</v>
      </c>
      <c r="K4" s="14">
        <f>Aspects[[#This Row],[Phy min]]+Aspects[[#This Row],[Men min]]+Aspects[[#This Row],[Cha min]]</f>
        <v>28</v>
      </c>
      <c r="L4" s="14">
        <f>Aspects[[#This Row],[Phy max]]+Aspects[[#This Row],[Men max]]+Aspects[[#This Row],[Cha max]]</f>
        <v>52</v>
      </c>
      <c r="M4" s="14">
        <f>MAX(Aspects[[#This Row],[Max stats]]-Aspects[[#This Row],[Min stats]],0)</f>
        <v>24</v>
      </c>
      <c r="N4" s="12">
        <f>ROUNDUP(AVERAGE(Aspects[[#This Row],[Phy min]:[Phy max]])*WPHYSIC+AVERAGE(Aspects[[#This Row],[Men min]:[Men max]])*WMENTAL+AVERAGE(Aspects[[#This Row],[Cha min]:[Cha max]])*WCHARAC,0)</f>
        <v>8</v>
      </c>
      <c r="O4" s="2" t="s">
        <v>39</v>
      </c>
      <c r="P4" s="1" t="s">
        <v>4</v>
      </c>
      <c r="Q4" s="10" t="str">
        <f>IFERROR(VLOOKUP(Aspects[[#This Row],[Alignement]],Alignement[],2,FALSE),"")</f>
        <v>Neutre</v>
      </c>
      <c r="R4" s="10" t="str">
        <f>IFERROR(VLOOKUP(Aspects[[#This Row],[Alignement]],Alignement[],3,FALSE),"")</f>
        <v>Chaotique</v>
      </c>
      <c r="S4" s="8">
        <f>IF(Aspects[[#This Row],[Men min]]&lt;8,0,1)</f>
        <v>0</v>
      </c>
      <c r="T4" s="8">
        <f>IF(OR(AND(Aspects[[#This Row],[Min stats]]&lt;=35,Aspects[[#This Row],[Loyauté]]&lt;&gt;"Loyal"),AND(Aspects[[#This Row],[Min stats]]&lt;=25,Aspects[[#This Row],[Loyauté]]="Loyal")),1,0)</f>
        <v>1</v>
      </c>
      <c r="U4" s="8">
        <f>IF(Aspects[[#This Row],[Max stats]]&gt;=43,1,0)</f>
        <v>1</v>
      </c>
      <c r="V4" s="8">
        <f>IF(OR(AND(Aspects[[#This Row],[Range stats]]&gt;=15,Aspects[[#This Row],[Range stats]]&lt;=27,Aspects[[#This Row],[Loyauté]]&lt;&gt;"Loyal"),AND(Aspects[[#This Row],[Range stats]]&gt;=27,Aspects[[#This Row],[Range stats]]&lt;=40,Aspects[[#This Row],[Loyauté]]="Loyal")),1,0)</f>
        <v>1</v>
      </c>
      <c r="W4" s="9"/>
    </row>
    <row r="5" spans="1:23" x14ac:dyDescent="0.25">
      <c r="A5" s="1" t="s">
        <v>47</v>
      </c>
      <c r="B5" s="16" t="str">
        <f>Aspects[[#This Row],[Phy min]] &amp; " - " &amp; Aspects[[#This Row],[Phy max]]</f>
        <v>6 - 15</v>
      </c>
      <c r="C5" s="13">
        <v>6</v>
      </c>
      <c r="D5" s="13">
        <v>15</v>
      </c>
      <c r="E5" s="16" t="str">
        <f>Aspects[[#This Row],[Men min]] &amp; " - " &amp; Aspects[[#This Row],[Men max]]</f>
        <v>8 - 18</v>
      </c>
      <c r="F5" s="13">
        <v>8</v>
      </c>
      <c r="G5" s="13">
        <v>18</v>
      </c>
      <c r="H5" s="16" t="str">
        <f>Aspects[[#This Row],[Cha min]] &amp; " - " &amp; Aspects[[#This Row],[Cha max]]</f>
        <v>12 - 20</v>
      </c>
      <c r="I5" s="13">
        <v>12</v>
      </c>
      <c r="J5" s="13">
        <v>20</v>
      </c>
      <c r="K5" s="14">
        <f>Aspects[[#This Row],[Phy min]]+Aspects[[#This Row],[Men min]]+Aspects[[#This Row],[Cha min]]</f>
        <v>26</v>
      </c>
      <c r="L5" s="14">
        <f>Aspects[[#This Row],[Phy max]]+Aspects[[#This Row],[Men max]]+Aspects[[#This Row],[Cha max]]</f>
        <v>53</v>
      </c>
      <c r="M5" s="14">
        <f>MAX(Aspects[[#This Row],[Max stats]]-Aspects[[#This Row],[Min stats]],0)</f>
        <v>27</v>
      </c>
      <c r="N5" s="12">
        <f>ROUNDUP(AVERAGE(Aspects[[#This Row],[Phy min]:[Phy max]])*WPHYSIC+AVERAGE(Aspects[[#This Row],[Men min]:[Men max]])*WMENTAL+AVERAGE(Aspects[[#This Row],[Cha min]:[Cha max]])*WCHARAC,0)</f>
        <v>9</v>
      </c>
      <c r="O5" s="2" t="s">
        <v>40</v>
      </c>
      <c r="P5" s="1" t="s">
        <v>0</v>
      </c>
      <c r="Q5" s="10" t="str">
        <f>IFERROR(VLOOKUP(Aspects[[#This Row],[Alignement]],Alignement[],2,FALSE),"")</f>
        <v>Mauvais</v>
      </c>
      <c r="R5" s="10" t="str">
        <f>IFERROR(VLOOKUP(Aspects[[#This Row],[Alignement]],Alignement[],3,FALSE),"")</f>
        <v>Neutre</v>
      </c>
      <c r="S5" s="8">
        <f>IF(Aspects[[#This Row],[Men min]]&lt;8,0,1)</f>
        <v>1</v>
      </c>
      <c r="T5" s="8">
        <f>IF(OR(AND(Aspects[[#This Row],[Min stats]]&lt;=35,Aspects[[#This Row],[Loyauté]]&lt;&gt;"Loyal"),AND(Aspects[[#This Row],[Min stats]]&lt;=25,Aspects[[#This Row],[Loyauté]]="Loyal")),1,0)</f>
        <v>1</v>
      </c>
      <c r="U5" s="8">
        <f>IF(Aspects[[#This Row],[Max stats]]&gt;=43,1,0)</f>
        <v>1</v>
      </c>
      <c r="V5" s="8">
        <f>IF(OR(AND(Aspects[[#This Row],[Range stats]]&gt;=15,Aspects[[#This Row],[Range stats]]&lt;=27,Aspects[[#This Row],[Loyauté]]&lt;&gt;"Loyal"),AND(Aspects[[#This Row],[Range stats]]&gt;=27,Aspects[[#This Row],[Range stats]]&lt;=40,Aspects[[#This Row],[Loyauté]]="Loyal")),1,0)</f>
        <v>1</v>
      </c>
      <c r="W5" s="9"/>
    </row>
    <row r="6" spans="1:23" x14ac:dyDescent="0.25">
      <c r="A6" s="1" t="s">
        <v>57</v>
      </c>
      <c r="B6" s="16" t="str">
        <f>Aspects[[#This Row],[Phy min]] &amp; " - " &amp; Aspects[[#This Row],[Phy max]]</f>
        <v>3 - 13</v>
      </c>
      <c r="C6" s="13">
        <v>3</v>
      </c>
      <c r="D6" s="13">
        <v>13</v>
      </c>
      <c r="E6" s="16" t="str">
        <f>Aspects[[#This Row],[Men min]] &amp; " - " &amp; Aspects[[#This Row],[Men max]]</f>
        <v>10 - 20</v>
      </c>
      <c r="F6" s="13">
        <v>10</v>
      </c>
      <c r="G6" s="13">
        <v>20</v>
      </c>
      <c r="H6" s="16" t="str">
        <f>Aspects[[#This Row],[Cha min]] &amp; " - " &amp; Aspects[[#This Row],[Cha max]]</f>
        <v>12 - 20</v>
      </c>
      <c r="I6" s="13">
        <v>12</v>
      </c>
      <c r="J6" s="13">
        <v>20</v>
      </c>
      <c r="K6" s="14">
        <f>Aspects[[#This Row],[Phy min]]+Aspects[[#This Row],[Men min]]+Aspects[[#This Row],[Cha min]]</f>
        <v>25</v>
      </c>
      <c r="L6" s="14">
        <f>Aspects[[#This Row],[Phy max]]+Aspects[[#This Row],[Men max]]+Aspects[[#This Row],[Cha max]]</f>
        <v>53</v>
      </c>
      <c r="M6" s="14">
        <f>MAX(Aspects[[#This Row],[Max stats]]-Aspects[[#This Row],[Min stats]],0)</f>
        <v>28</v>
      </c>
      <c r="N6" s="12">
        <f>ROUNDUP(AVERAGE(Aspects[[#This Row],[Phy min]:[Phy max]])*WPHYSIC+AVERAGE(Aspects[[#This Row],[Men min]:[Men max]])*WMENTAL+AVERAGE(Aspects[[#This Row],[Cha min]:[Cha max]])*WCHARAC,0)</f>
        <v>9</v>
      </c>
      <c r="O6" s="2" t="s">
        <v>42</v>
      </c>
      <c r="P6" s="1" t="s">
        <v>10</v>
      </c>
      <c r="Q6" s="10" t="str">
        <f>IFERROR(VLOOKUP(Aspects[[#This Row],[Alignement]],Alignement[],2,FALSE),"")</f>
        <v>Bon</v>
      </c>
      <c r="R6" s="10" t="str">
        <f>IFERROR(VLOOKUP(Aspects[[#This Row],[Alignement]],Alignement[],3,FALSE),"")</f>
        <v>Loyal</v>
      </c>
      <c r="S6" s="8">
        <f>IF(Aspects[[#This Row],[Men min]]&lt;8,0,1)</f>
        <v>1</v>
      </c>
      <c r="T6" s="8">
        <f>IF(OR(AND(Aspects[[#This Row],[Min stats]]&lt;=35,Aspects[[#This Row],[Loyauté]]&lt;&gt;"Loyal"),AND(Aspects[[#This Row],[Min stats]]&lt;=25,Aspects[[#This Row],[Loyauté]]="Loyal")),1,0)</f>
        <v>1</v>
      </c>
      <c r="U6" s="8">
        <f>IF(Aspects[[#This Row],[Max stats]]&gt;=43,1,0)</f>
        <v>1</v>
      </c>
      <c r="V6" s="8">
        <f>IF(OR(AND(Aspects[[#This Row],[Range stats]]&gt;=15,Aspects[[#This Row],[Range stats]]&lt;=27,Aspects[[#This Row],[Loyauté]]&lt;&gt;"Loyal"),AND(Aspects[[#This Row],[Range stats]]&gt;=27,Aspects[[#This Row],[Range stats]]&lt;=40,Aspects[[#This Row],[Loyauté]]="Loyal")),1,0)</f>
        <v>1</v>
      </c>
      <c r="W6" s="9"/>
    </row>
    <row r="7" spans="1:23" x14ac:dyDescent="0.25">
      <c r="A7" s="1" t="s">
        <v>25</v>
      </c>
      <c r="B7" s="16" t="str">
        <f>Aspects[[#This Row],[Phy min]] &amp; " - " &amp; Aspects[[#This Row],[Phy max]]</f>
        <v>18 - 25</v>
      </c>
      <c r="C7" s="13">
        <v>18</v>
      </c>
      <c r="D7" s="13">
        <v>25</v>
      </c>
      <c r="E7" s="16" t="str">
        <f>Aspects[[#This Row],[Men min]] &amp; " - " &amp; Aspects[[#This Row],[Men max]]</f>
        <v>3 - 13</v>
      </c>
      <c r="F7" s="13">
        <v>3</v>
      </c>
      <c r="G7" s="13">
        <v>13</v>
      </c>
      <c r="H7" s="16" t="str">
        <f>Aspects[[#This Row],[Cha min]] &amp; " - " &amp; Aspects[[#This Row],[Cha max]]</f>
        <v>8 - 15</v>
      </c>
      <c r="I7" s="13">
        <v>8</v>
      </c>
      <c r="J7" s="13">
        <v>15</v>
      </c>
      <c r="K7" s="14">
        <f>Aspects[[#This Row],[Phy min]]+Aspects[[#This Row],[Men min]]+Aspects[[#This Row],[Cha min]]</f>
        <v>29</v>
      </c>
      <c r="L7" s="14">
        <f>Aspects[[#This Row],[Phy max]]+Aspects[[#This Row],[Men max]]+Aspects[[#This Row],[Cha max]]</f>
        <v>53</v>
      </c>
      <c r="M7" s="14">
        <f>MAX(Aspects[[#This Row],[Max stats]]-Aspects[[#This Row],[Min stats]],0)</f>
        <v>24</v>
      </c>
      <c r="N7" s="12">
        <f>ROUNDUP(AVERAGE(Aspects[[#This Row],[Phy min]:[Phy max]])*WPHYSIC+AVERAGE(Aspects[[#This Row],[Men min]:[Men max]])*WMENTAL+AVERAGE(Aspects[[#This Row],[Cha min]:[Cha max]])*WCHARAC,0)</f>
        <v>9</v>
      </c>
      <c r="O7" s="2" t="s">
        <v>39</v>
      </c>
      <c r="P7" s="1" t="s">
        <v>4</v>
      </c>
      <c r="Q7" s="10" t="str">
        <f>IFERROR(VLOOKUP(Aspects[[#This Row],[Alignement]],Alignement[],2,FALSE),"")</f>
        <v>Neutre</v>
      </c>
      <c r="R7" s="10" t="str">
        <f>IFERROR(VLOOKUP(Aspects[[#This Row],[Alignement]],Alignement[],3,FALSE),"")</f>
        <v>Chaotique</v>
      </c>
      <c r="S7" s="8">
        <f>IF(Aspects[[#This Row],[Men min]]&lt;8,0,1)</f>
        <v>0</v>
      </c>
      <c r="T7" s="8">
        <f>IF(OR(AND(Aspects[[#This Row],[Min stats]]&lt;=35,Aspects[[#This Row],[Loyauté]]&lt;&gt;"Loyal"),AND(Aspects[[#This Row],[Min stats]]&lt;=25,Aspects[[#This Row],[Loyauté]]="Loyal")),1,0)</f>
        <v>1</v>
      </c>
      <c r="U7" s="8">
        <f>IF(Aspects[[#This Row],[Max stats]]&gt;=43,1,0)</f>
        <v>1</v>
      </c>
      <c r="V7" s="8">
        <f>IF(OR(AND(Aspects[[#This Row],[Range stats]]&gt;=15,Aspects[[#This Row],[Range stats]]&lt;=27,Aspects[[#This Row],[Loyauté]]&lt;&gt;"Loyal"),AND(Aspects[[#This Row],[Range stats]]&gt;=27,Aspects[[#This Row],[Range stats]]&lt;=40,Aspects[[#This Row],[Loyauté]]="Loyal")),1,0)</f>
        <v>1</v>
      </c>
      <c r="W7" s="9"/>
    </row>
    <row r="8" spans="1:23" x14ac:dyDescent="0.25">
      <c r="A8" s="1" t="s">
        <v>51</v>
      </c>
      <c r="B8" s="16" t="str">
        <f>Aspects[[#This Row],[Phy min]] &amp; " - " &amp; Aspects[[#This Row],[Phy max]]</f>
        <v>8 - 20</v>
      </c>
      <c r="C8" s="13">
        <v>8</v>
      </c>
      <c r="D8" s="13">
        <v>20</v>
      </c>
      <c r="E8" s="16" t="str">
        <f>Aspects[[#This Row],[Men min]] &amp; " - " &amp; Aspects[[#This Row],[Men max]]</f>
        <v>8 - 20</v>
      </c>
      <c r="F8" s="13">
        <v>8</v>
      </c>
      <c r="G8" s="13">
        <v>20</v>
      </c>
      <c r="H8" s="16" t="str">
        <f>Aspects[[#This Row],[Cha min]] &amp; " - " &amp; Aspects[[#This Row],[Cha max]]</f>
        <v>5 - 18</v>
      </c>
      <c r="I8" s="13">
        <v>5</v>
      </c>
      <c r="J8" s="13">
        <v>18</v>
      </c>
      <c r="K8" s="14">
        <f>Aspects[[#This Row],[Phy min]]+Aspects[[#This Row],[Men min]]+Aspects[[#This Row],[Cha min]]</f>
        <v>21</v>
      </c>
      <c r="L8" s="14">
        <f>Aspects[[#This Row],[Phy max]]+Aspects[[#This Row],[Men max]]+Aspects[[#This Row],[Cha max]]</f>
        <v>58</v>
      </c>
      <c r="M8" s="14">
        <f>MAX(Aspects[[#This Row],[Max stats]]-Aspects[[#This Row],[Min stats]],0)</f>
        <v>37</v>
      </c>
      <c r="N8" s="12">
        <f>ROUNDUP(AVERAGE(Aspects[[#This Row],[Phy min]:[Phy max]])*WPHYSIC+AVERAGE(Aspects[[#This Row],[Men min]:[Men max]])*WMENTAL+AVERAGE(Aspects[[#This Row],[Cha min]:[Cha max]])*WCHARAC,0)</f>
        <v>9</v>
      </c>
      <c r="O8" s="2" t="s">
        <v>40</v>
      </c>
      <c r="P8" s="1" t="s">
        <v>9</v>
      </c>
      <c r="Q8" s="10" t="str">
        <f>IFERROR(VLOOKUP(Aspects[[#This Row],[Alignement]],Alignement[],2,FALSE),"")</f>
        <v>Neutre</v>
      </c>
      <c r="R8" s="10" t="str">
        <f>IFERROR(VLOOKUP(Aspects[[#This Row],[Alignement]],Alignement[],3,FALSE),"")</f>
        <v>Loyal</v>
      </c>
      <c r="S8" s="8">
        <f>IF(Aspects[[#This Row],[Men min]]&lt;8,0,1)</f>
        <v>1</v>
      </c>
      <c r="T8" s="8">
        <f>IF(OR(AND(Aspects[[#This Row],[Min stats]]&lt;=35,Aspects[[#This Row],[Loyauté]]&lt;&gt;"Loyal"),AND(Aspects[[#This Row],[Min stats]]&lt;=25,Aspects[[#This Row],[Loyauté]]="Loyal")),1,0)</f>
        <v>1</v>
      </c>
      <c r="U8" s="8">
        <f>IF(Aspects[[#This Row],[Max stats]]&gt;=43,1,0)</f>
        <v>1</v>
      </c>
      <c r="V8" s="8">
        <f>IF(OR(AND(Aspects[[#This Row],[Range stats]]&gt;=15,Aspects[[#This Row],[Range stats]]&lt;=27,Aspects[[#This Row],[Loyauté]]&lt;&gt;"Loyal"),AND(Aspects[[#This Row],[Range stats]]&gt;=27,Aspects[[#This Row],[Range stats]]&lt;=40,Aspects[[#This Row],[Loyauté]]="Loyal")),1,0)</f>
        <v>1</v>
      </c>
      <c r="W8" s="9"/>
    </row>
    <row r="9" spans="1:23" x14ac:dyDescent="0.25">
      <c r="A9" s="1" t="s">
        <v>78</v>
      </c>
      <c r="B9" s="16" t="str">
        <f>Aspects[[#This Row],[Phy min]] &amp; " - " &amp; Aspects[[#This Row],[Phy max]]</f>
        <v>10 - 18</v>
      </c>
      <c r="C9" s="13">
        <v>10</v>
      </c>
      <c r="D9" s="13">
        <v>18</v>
      </c>
      <c r="E9" s="16" t="str">
        <f>Aspects[[#This Row],[Men min]] &amp; " - " &amp; Aspects[[#This Row],[Men max]]</f>
        <v>0 - 10</v>
      </c>
      <c r="F9" s="13">
        <v>0</v>
      </c>
      <c r="G9" s="13">
        <v>10</v>
      </c>
      <c r="H9" s="16" t="str">
        <f>Aspects[[#This Row],[Cha min]] &amp; " - " &amp; Aspects[[#This Row],[Cha max]]</f>
        <v>15 - 20</v>
      </c>
      <c r="I9" s="13">
        <v>15</v>
      </c>
      <c r="J9" s="13">
        <v>20</v>
      </c>
      <c r="K9" s="14">
        <f>Aspects[[#This Row],[Phy min]]+Aspects[[#This Row],[Men min]]+Aspects[[#This Row],[Cha min]]</f>
        <v>25</v>
      </c>
      <c r="L9" s="14">
        <f>Aspects[[#This Row],[Phy max]]+Aspects[[#This Row],[Men max]]+Aspects[[#This Row],[Cha max]]</f>
        <v>48</v>
      </c>
      <c r="M9" s="14">
        <f>MAX(Aspects[[#This Row],[Max stats]]-Aspects[[#This Row],[Min stats]],0)</f>
        <v>23</v>
      </c>
      <c r="N9" s="12">
        <f>ROUNDUP(AVERAGE(Aspects[[#This Row],[Phy min]:[Phy max]])*WPHYSIC+AVERAGE(Aspects[[#This Row],[Men min]:[Men max]])*WMENTAL+AVERAGE(Aspects[[#This Row],[Cha min]:[Cha max]])*WCHARAC,0)</f>
        <v>9</v>
      </c>
      <c r="O9" s="2" t="s">
        <v>42</v>
      </c>
      <c r="P9" s="1" t="s">
        <v>0</v>
      </c>
      <c r="Q9" s="10" t="str">
        <f>IFERROR(VLOOKUP(Aspects[[#This Row],[Alignement]],Alignement[],2,FALSE),"")</f>
        <v>Mauvais</v>
      </c>
      <c r="R9" s="10" t="str">
        <f>IFERROR(VLOOKUP(Aspects[[#This Row],[Alignement]],Alignement[],3,FALSE),"")</f>
        <v>Neutre</v>
      </c>
      <c r="S9" s="8">
        <f>IF(Aspects[[#This Row],[Men min]]&lt;8,0,1)</f>
        <v>0</v>
      </c>
      <c r="T9" s="8">
        <f>IF(OR(AND(Aspects[[#This Row],[Min stats]]&lt;=35,Aspects[[#This Row],[Loyauté]]&lt;&gt;"Loyal"),AND(Aspects[[#This Row],[Min stats]]&lt;=25,Aspects[[#This Row],[Loyauté]]="Loyal")),1,0)</f>
        <v>1</v>
      </c>
      <c r="U9" s="8">
        <f>IF(Aspects[[#This Row],[Max stats]]&gt;=43,1,0)</f>
        <v>1</v>
      </c>
      <c r="V9" s="8">
        <f>IF(OR(AND(Aspects[[#This Row],[Range stats]]&gt;=15,Aspects[[#This Row],[Range stats]]&lt;=27,Aspects[[#This Row],[Loyauté]]&lt;&gt;"Loyal"),AND(Aspects[[#This Row],[Range stats]]&gt;=27,Aspects[[#This Row],[Range stats]]&lt;=40,Aspects[[#This Row],[Loyauté]]="Loyal")),1,0)</f>
        <v>1</v>
      </c>
      <c r="W9" s="9"/>
    </row>
    <row r="10" spans="1:23" x14ac:dyDescent="0.25">
      <c r="A10" s="1" t="s">
        <v>26</v>
      </c>
      <c r="B10" s="16" t="str">
        <f>Aspects[[#This Row],[Phy min]] &amp; " - " &amp; Aspects[[#This Row],[Phy max]]</f>
        <v>12 - 22</v>
      </c>
      <c r="C10" s="13">
        <v>12</v>
      </c>
      <c r="D10" s="13">
        <v>22</v>
      </c>
      <c r="E10" s="16" t="str">
        <f>Aspects[[#This Row],[Men min]] &amp; " - " &amp; Aspects[[#This Row],[Men max]]</f>
        <v>8 - 15</v>
      </c>
      <c r="F10" s="13">
        <v>8</v>
      </c>
      <c r="G10" s="13">
        <v>15</v>
      </c>
      <c r="H10" s="16" t="str">
        <f>Aspects[[#This Row],[Cha min]] &amp; " - " &amp; Aspects[[#This Row],[Cha max]]</f>
        <v>12 - 20</v>
      </c>
      <c r="I10" s="13">
        <v>12</v>
      </c>
      <c r="J10" s="13">
        <v>20</v>
      </c>
      <c r="K10" s="14">
        <f>Aspects[[#This Row],[Phy min]]+Aspects[[#This Row],[Men min]]+Aspects[[#This Row],[Cha min]]</f>
        <v>32</v>
      </c>
      <c r="L10" s="14">
        <f>Aspects[[#This Row],[Phy max]]+Aspects[[#This Row],[Men max]]+Aspects[[#This Row],[Cha max]]</f>
        <v>57</v>
      </c>
      <c r="M10" s="14">
        <f>MAX(Aspects[[#This Row],[Max stats]]-Aspects[[#This Row],[Min stats]],0)</f>
        <v>25</v>
      </c>
      <c r="N10" s="12">
        <f>ROUNDUP(AVERAGE(Aspects[[#This Row],[Phy min]:[Phy max]])*WPHYSIC+AVERAGE(Aspects[[#This Row],[Men min]:[Men max]])*WMENTAL+AVERAGE(Aspects[[#This Row],[Cha min]:[Cha max]])*WCHARAC,0)</f>
        <v>10</v>
      </c>
      <c r="O10" s="2" t="s">
        <v>38</v>
      </c>
      <c r="P10" s="1" t="s">
        <v>0</v>
      </c>
      <c r="Q10" s="10" t="str">
        <f>IFERROR(VLOOKUP(Aspects[[#This Row],[Alignement]],Alignement[],2,FALSE),"")</f>
        <v>Mauvais</v>
      </c>
      <c r="R10" s="10" t="str">
        <f>IFERROR(VLOOKUP(Aspects[[#This Row],[Alignement]],Alignement[],3,FALSE),"")</f>
        <v>Neutre</v>
      </c>
      <c r="S10" s="8">
        <f>IF(Aspects[[#This Row],[Men min]]&lt;8,0,1)</f>
        <v>1</v>
      </c>
      <c r="T10" s="8">
        <f>IF(OR(AND(Aspects[[#This Row],[Min stats]]&lt;=35,Aspects[[#This Row],[Loyauté]]&lt;&gt;"Loyal"),AND(Aspects[[#This Row],[Min stats]]&lt;=25,Aspects[[#This Row],[Loyauté]]="Loyal")),1,0)</f>
        <v>1</v>
      </c>
      <c r="U10" s="8">
        <f>IF(Aspects[[#This Row],[Max stats]]&gt;=43,1,0)</f>
        <v>1</v>
      </c>
      <c r="V10" s="8">
        <f>IF(OR(AND(Aspects[[#This Row],[Range stats]]&gt;=15,Aspects[[#This Row],[Range stats]]&lt;=27,Aspects[[#This Row],[Loyauté]]&lt;&gt;"Loyal"),AND(Aspects[[#This Row],[Range stats]]&gt;=27,Aspects[[#This Row],[Range stats]]&lt;=40,Aspects[[#This Row],[Loyauté]]="Loyal")),1,0)</f>
        <v>1</v>
      </c>
      <c r="W10" s="9"/>
    </row>
    <row r="11" spans="1:23" x14ac:dyDescent="0.25">
      <c r="A11" s="1" t="s">
        <v>66</v>
      </c>
      <c r="B11" s="16" t="str">
        <f>Aspects[[#This Row],[Phy min]] &amp; " - " &amp; Aspects[[#This Row],[Phy max]]</f>
        <v>12 - 20</v>
      </c>
      <c r="C11" s="13">
        <v>12</v>
      </c>
      <c r="D11" s="13">
        <v>20</v>
      </c>
      <c r="E11" s="16" t="str">
        <f>Aspects[[#This Row],[Men min]] &amp; " - " &amp; Aspects[[#This Row],[Men max]]</f>
        <v>8 - 12</v>
      </c>
      <c r="F11" s="13">
        <v>8</v>
      </c>
      <c r="G11" s="13">
        <v>12</v>
      </c>
      <c r="H11" s="16" t="str">
        <f>Aspects[[#This Row],[Cha min]] &amp; " - " &amp; Aspects[[#This Row],[Cha max]]</f>
        <v>15 - 20</v>
      </c>
      <c r="I11" s="13">
        <v>15</v>
      </c>
      <c r="J11" s="13">
        <v>20</v>
      </c>
      <c r="K11" s="14">
        <f>Aspects[[#This Row],[Phy min]]+Aspects[[#This Row],[Men min]]+Aspects[[#This Row],[Cha min]]</f>
        <v>35</v>
      </c>
      <c r="L11" s="14">
        <f>Aspects[[#This Row],[Phy max]]+Aspects[[#This Row],[Men max]]+Aspects[[#This Row],[Cha max]]</f>
        <v>52</v>
      </c>
      <c r="M11" s="14">
        <f>MAX(Aspects[[#This Row],[Max stats]]-Aspects[[#This Row],[Min stats]],0)</f>
        <v>17</v>
      </c>
      <c r="N11" s="12">
        <f>ROUNDUP(AVERAGE(Aspects[[#This Row],[Phy min]:[Phy max]])*WPHYSIC+AVERAGE(Aspects[[#This Row],[Men min]:[Men max]])*WMENTAL+AVERAGE(Aspects[[#This Row],[Cha min]:[Cha max]])*WCHARAC,0)</f>
        <v>10</v>
      </c>
      <c r="O11" s="2" t="s">
        <v>43</v>
      </c>
      <c r="P11" s="1" t="s">
        <v>7</v>
      </c>
      <c r="Q11" s="10" t="str">
        <f>IFERROR(VLOOKUP(Aspects[[#This Row],[Alignement]],Alignement[],2,FALSE),"")</f>
        <v>Bon</v>
      </c>
      <c r="R11" s="10" t="str">
        <f>IFERROR(VLOOKUP(Aspects[[#This Row],[Alignement]],Alignement[],3,FALSE),"")</f>
        <v>Neutre</v>
      </c>
      <c r="S11" s="8">
        <f>IF(Aspects[[#This Row],[Men min]]&lt;8,0,1)</f>
        <v>1</v>
      </c>
      <c r="T11" s="8">
        <f>IF(OR(AND(Aspects[[#This Row],[Min stats]]&lt;=35,Aspects[[#This Row],[Loyauté]]&lt;&gt;"Loyal"),AND(Aspects[[#This Row],[Min stats]]&lt;=25,Aspects[[#This Row],[Loyauté]]="Loyal")),1,0)</f>
        <v>1</v>
      </c>
      <c r="U11" s="8">
        <f>IF(Aspects[[#This Row],[Max stats]]&gt;=43,1,0)</f>
        <v>1</v>
      </c>
      <c r="V11" s="8">
        <f>IF(OR(AND(Aspects[[#This Row],[Range stats]]&gt;=15,Aspects[[#This Row],[Range stats]]&lt;=27,Aspects[[#This Row],[Loyauté]]&lt;&gt;"Loyal"),AND(Aspects[[#This Row],[Range stats]]&gt;=27,Aspects[[#This Row],[Range stats]]&lt;=40,Aspects[[#This Row],[Loyauté]]="Loyal")),1,0)</f>
        <v>1</v>
      </c>
      <c r="W11" s="9"/>
    </row>
    <row r="12" spans="1:23" x14ac:dyDescent="0.25">
      <c r="A12" s="1" t="s">
        <v>53</v>
      </c>
      <c r="B12" s="16" t="str">
        <f>Aspects[[#This Row],[Phy min]] &amp; " - " &amp; Aspects[[#This Row],[Phy max]]</f>
        <v>12 - 22</v>
      </c>
      <c r="C12" s="13">
        <v>12</v>
      </c>
      <c r="D12" s="13">
        <v>22</v>
      </c>
      <c r="E12" s="16" t="str">
        <f>Aspects[[#This Row],[Men min]] &amp; " - " &amp; Aspects[[#This Row],[Men max]]</f>
        <v>12 - 20</v>
      </c>
      <c r="F12" s="13">
        <v>12</v>
      </c>
      <c r="G12" s="13">
        <v>20</v>
      </c>
      <c r="H12" s="16" t="str">
        <f>Aspects[[#This Row],[Cha min]] &amp; " - " &amp; Aspects[[#This Row],[Cha max]]</f>
        <v>3 - 10</v>
      </c>
      <c r="I12" s="13">
        <v>3</v>
      </c>
      <c r="J12" s="13">
        <v>10</v>
      </c>
      <c r="K12" s="14">
        <f>Aspects[[#This Row],[Phy min]]+Aspects[[#This Row],[Men min]]+Aspects[[#This Row],[Cha min]]</f>
        <v>27</v>
      </c>
      <c r="L12" s="14">
        <f>Aspects[[#This Row],[Phy max]]+Aspects[[#This Row],[Men max]]+Aspects[[#This Row],[Cha max]]</f>
        <v>52</v>
      </c>
      <c r="M12" s="14">
        <f>MAX(Aspects[[#This Row],[Max stats]]-Aspects[[#This Row],[Min stats]],0)</f>
        <v>25</v>
      </c>
      <c r="N12" s="12">
        <f>ROUNDUP(AVERAGE(Aspects[[#This Row],[Phy min]:[Phy max]])*WPHYSIC+AVERAGE(Aspects[[#This Row],[Men min]:[Men max]])*WMENTAL+AVERAGE(Aspects[[#This Row],[Cha min]:[Cha max]])*WCHARAC,0)</f>
        <v>8</v>
      </c>
      <c r="O12" s="2" t="s">
        <v>38</v>
      </c>
      <c r="P12" s="1" t="s">
        <v>5</v>
      </c>
      <c r="Q12" s="10" t="str">
        <f>IFERROR(VLOOKUP(Aspects[[#This Row],[Alignement]],Alignement[],2,FALSE),"")</f>
        <v>Neutre</v>
      </c>
      <c r="R12" s="10" t="str">
        <f>IFERROR(VLOOKUP(Aspects[[#This Row],[Alignement]],Alignement[],3,FALSE),"")</f>
        <v>Neutre</v>
      </c>
      <c r="S12" s="8">
        <f>IF(Aspects[[#This Row],[Men min]]&lt;8,0,1)</f>
        <v>1</v>
      </c>
      <c r="T12" s="8">
        <f>IF(OR(AND(Aspects[[#This Row],[Min stats]]&lt;=35,Aspects[[#This Row],[Loyauté]]&lt;&gt;"Loyal"),AND(Aspects[[#This Row],[Min stats]]&lt;=25,Aspects[[#This Row],[Loyauté]]="Loyal")),1,0)</f>
        <v>1</v>
      </c>
      <c r="U12" s="8">
        <f>IF(Aspects[[#This Row],[Max stats]]&gt;=43,1,0)</f>
        <v>1</v>
      </c>
      <c r="V12" s="8">
        <f>IF(OR(AND(Aspects[[#This Row],[Range stats]]&gt;=15,Aspects[[#This Row],[Range stats]]&lt;=27,Aspects[[#This Row],[Loyauté]]&lt;&gt;"Loyal"),AND(Aspects[[#This Row],[Range stats]]&gt;=27,Aspects[[#This Row],[Range stats]]&lt;=40,Aspects[[#This Row],[Loyauté]]="Loyal")),1,0)</f>
        <v>1</v>
      </c>
      <c r="W12" s="9"/>
    </row>
    <row r="13" spans="1:23" x14ac:dyDescent="0.25">
      <c r="A13" s="1" t="s">
        <v>22</v>
      </c>
      <c r="B13" s="16" t="str">
        <f>Aspects[[#This Row],[Phy min]] &amp; " - " &amp; Aspects[[#This Row],[Phy max]]</f>
        <v>8 - 20</v>
      </c>
      <c r="C13" s="13">
        <v>8</v>
      </c>
      <c r="D13" s="13">
        <v>20</v>
      </c>
      <c r="E13" s="16" t="str">
        <f>Aspects[[#This Row],[Men min]] &amp; " - " &amp; Aspects[[#This Row],[Men max]]</f>
        <v>3 - 15</v>
      </c>
      <c r="F13" s="13">
        <v>3</v>
      </c>
      <c r="G13" s="13">
        <v>15</v>
      </c>
      <c r="H13" s="16" t="str">
        <f>Aspects[[#This Row],[Cha min]] &amp; " - " &amp; Aspects[[#This Row],[Cha max]]</f>
        <v>10 - 20</v>
      </c>
      <c r="I13" s="13">
        <v>10</v>
      </c>
      <c r="J13" s="13">
        <v>20</v>
      </c>
      <c r="K13" s="14">
        <f>Aspects[[#This Row],[Phy min]]+Aspects[[#This Row],[Men min]]+Aspects[[#This Row],[Cha min]]</f>
        <v>21</v>
      </c>
      <c r="L13" s="14">
        <f>Aspects[[#This Row],[Phy max]]+Aspects[[#This Row],[Men max]]+Aspects[[#This Row],[Cha max]]</f>
        <v>55</v>
      </c>
      <c r="M13" s="14">
        <f>MAX(Aspects[[#This Row],[Max stats]]-Aspects[[#This Row],[Min stats]],0)</f>
        <v>34</v>
      </c>
      <c r="N13" s="12">
        <f>ROUNDUP(AVERAGE(Aspects[[#This Row],[Phy min]:[Phy max]])*WPHYSIC+AVERAGE(Aspects[[#This Row],[Men min]:[Men max]])*WMENTAL+AVERAGE(Aspects[[#This Row],[Cha min]:[Cha max]])*WCHARAC,0)</f>
        <v>9</v>
      </c>
      <c r="O13" s="2" t="s">
        <v>43</v>
      </c>
      <c r="P13" s="1" t="s">
        <v>11</v>
      </c>
      <c r="Q13" s="10" t="str">
        <f>IFERROR(VLOOKUP(Aspects[[#This Row],[Alignement]],Alignement[],2,FALSE),"")</f>
        <v>Mauvais</v>
      </c>
      <c r="R13" s="10" t="str">
        <f>IFERROR(VLOOKUP(Aspects[[#This Row],[Alignement]],Alignement[],3,FALSE),"")</f>
        <v>Loyal</v>
      </c>
      <c r="S13" s="8">
        <f>IF(Aspects[[#This Row],[Men min]]&lt;8,0,1)</f>
        <v>0</v>
      </c>
      <c r="T13" s="8">
        <f>IF(OR(AND(Aspects[[#This Row],[Min stats]]&lt;=35,Aspects[[#This Row],[Loyauté]]&lt;&gt;"Loyal"),AND(Aspects[[#This Row],[Min stats]]&lt;=25,Aspects[[#This Row],[Loyauté]]="Loyal")),1,0)</f>
        <v>1</v>
      </c>
      <c r="U13" s="8">
        <f>IF(Aspects[[#This Row],[Max stats]]&gt;=43,1,0)</f>
        <v>1</v>
      </c>
      <c r="V13" s="8">
        <f>IF(OR(AND(Aspects[[#This Row],[Range stats]]&gt;=15,Aspects[[#This Row],[Range stats]]&lt;=27,Aspects[[#This Row],[Loyauté]]&lt;&gt;"Loyal"),AND(Aspects[[#This Row],[Range stats]]&gt;=27,Aspects[[#This Row],[Range stats]]&lt;=40,Aspects[[#This Row],[Loyauté]]="Loyal")),1,0)</f>
        <v>1</v>
      </c>
      <c r="W13" s="9"/>
    </row>
    <row r="14" spans="1:23" x14ac:dyDescent="0.25">
      <c r="A14" s="1" t="s">
        <v>17</v>
      </c>
      <c r="B14" s="16" t="str">
        <f>Aspects[[#This Row],[Phy min]] &amp; " - " &amp; Aspects[[#This Row],[Phy max]]</f>
        <v>10 - 18</v>
      </c>
      <c r="C14" s="13">
        <v>10</v>
      </c>
      <c r="D14" s="13">
        <v>18</v>
      </c>
      <c r="E14" s="16" t="str">
        <f>Aspects[[#This Row],[Men min]] &amp; " - " &amp; Aspects[[#This Row],[Men max]]</f>
        <v>10 - 18</v>
      </c>
      <c r="F14" s="13">
        <v>10</v>
      </c>
      <c r="G14" s="13">
        <v>18</v>
      </c>
      <c r="H14" s="16" t="str">
        <f>Aspects[[#This Row],[Cha min]] &amp; " - " &amp; Aspects[[#This Row],[Cha max]]</f>
        <v>12 - 20</v>
      </c>
      <c r="I14" s="13">
        <v>12</v>
      </c>
      <c r="J14" s="13">
        <v>20</v>
      </c>
      <c r="K14" s="14">
        <f>Aspects[[#This Row],[Phy min]]+Aspects[[#This Row],[Men min]]+Aspects[[#This Row],[Cha min]]</f>
        <v>32</v>
      </c>
      <c r="L14" s="14">
        <f>Aspects[[#This Row],[Phy max]]+Aspects[[#This Row],[Men max]]+Aspects[[#This Row],[Cha max]]</f>
        <v>56</v>
      </c>
      <c r="M14" s="14">
        <f>MAX(Aspects[[#This Row],[Max stats]]-Aspects[[#This Row],[Min stats]],0)</f>
        <v>24</v>
      </c>
      <c r="N14" s="12">
        <f>ROUNDUP(AVERAGE(Aspects[[#This Row],[Phy min]:[Phy max]])*WPHYSIC+AVERAGE(Aspects[[#This Row],[Men min]:[Men max]])*WMENTAL+AVERAGE(Aspects[[#This Row],[Cha min]:[Cha max]])*WCHARAC,0)</f>
        <v>10</v>
      </c>
      <c r="O14" s="2" t="s">
        <v>42</v>
      </c>
      <c r="P14" s="1" t="s">
        <v>5</v>
      </c>
      <c r="Q14" s="10" t="str">
        <f>IFERROR(VLOOKUP(Aspects[[#This Row],[Alignement]],Alignement[],2,FALSE),"")</f>
        <v>Neutre</v>
      </c>
      <c r="R14" s="10" t="str">
        <f>IFERROR(VLOOKUP(Aspects[[#This Row],[Alignement]],Alignement[],3,FALSE),"")</f>
        <v>Neutre</v>
      </c>
      <c r="S14" s="8">
        <f>IF(Aspects[[#This Row],[Men min]]&lt;8,0,1)</f>
        <v>1</v>
      </c>
      <c r="T14" s="8">
        <f>IF(OR(AND(Aspects[[#This Row],[Min stats]]&lt;=35,Aspects[[#This Row],[Loyauté]]&lt;&gt;"Loyal"),AND(Aspects[[#This Row],[Min stats]]&lt;=25,Aspects[[#This Row],[Loyauté]]="Loyal")),1,0)</f>
        <v>1</v>
      </c>
      <c r="U14" s="8">
        <f>IF(Aspects[[#This Row],[Max stats]]&gt;=43,1,0)</f>
        <v>1</v>
      </c>
      <c r="V14" s="8">
        <f>IF(OR(AND(Aspects[[#This Row],[Range stats]]&gt;=15,Aspects[[#This Row],[Range stats]]&lt;=27,Aspects[[#This Row],[Loyauté]]&lt;&gt;"Loyal"),AND(Aspects[[#This Row],[Range stats]]&gt;=27,Aspects[[#This Row],[Range stats]]&lt;=40,Aspects[[#This Row],[Loyauté]]="Loyal")),1,0)</f>
        <v>1</v>
      </c>
      <c r="W14" s="9"/>
    </row>
    <row r="15" spans="1:23" x14ac:dyDescent="0.25">
      <c r="A15" s="1" t="s">
        <v>62</v>
      </c>
      <c r="B15" s="16" t="str">
        <f>Aspects[[#This Row],[Phy min]] &amp; " - " &amp; Aspects[[#This Row],[Phy max]]</f>
        <v>18 - 28</v>
      </c>
      <c r="C15" s="13">
        <v>18</v>
      </c>
      <c r="D15" s="13">
        <v>28</v>
      </c>
      <c r="E15" s="16" t="str">
        <f>Aspects[[#This Row],[Men min]] &amp; " - " &amp; Aspects[[#This Row],[Men max]]</f>
        <v>3 - 10</v>
      </c>
      <c r="F15" s="13">
        <v>3</v>
      </c>
      <c r="G15" s="13">
        <v>10</v>
      </c>
      <c r="H15" s="16" t="str">
        <f>Aspects[[#This Row],[Cha min]] &amp; " - " &amp; Aspects[[#This Row],[Cha max]]</f>
        <v>12 - 20</v>
      </c>
      <c r="I15" s="13">
        <v>12</v>
      </c>
      <c r="J15" s="13">
        <v>20</v>
      </c>
      <c r="K15" s="14">
        <f>Aspects[[#This Row],[Phy min]]+Aspects[[#This Row],[Men min]]+Aspects[[#This Row],[Cha min]]</f>
        <v>33</v>
      </c>
      <c r="L15" s="14">
        <f>Aspects[[#This Row],[Phy max]]+Aspects[[#This Row],[Men max]]+Aspects[[#This Row],[Cha max]]</f>
        <v>58</v>
      </c>
      <c r="M15" s="14">
        <f>MAX(Aspects[[#This Row],[Max stats]]-Aspects[[#This Row],[Min stats]],0)</f>
        <v>25</v>
      </c>
      <c r="N15" s="12">
        <f>ROUNDUP(AVERAGE(Aspects[[#This Row],[Phy min]:[Phy max]])*WPHYSIC+AVERAGE(Aspects[[#This Row],[Men min]:[Men max]])*WMENTAL+AVERAGE(Aspects[[#This Row],[Cha min]:[Cha max]])*WCHARAC,0)</f>
        <v>10</v>
      </c>
      <c r="O15" s="2" t="s">
        <v>39</v>
      </c>
      <c r="P15" s="1" t="s">
        <v>0</v>
      </c>
      <c r="Q15" s="10" t="str">
        <f>IFERROR(VLOOKUP(Aspects[[#This Row],[Alignement]],Alignement[],2,FALSE),"")</f>
        <v>Mauvais</v>
      </c>
      <c r="R15" s="10" t="str">
        <f>IFERROR(VLOOKUP(Aspects[[#This Row],[Alignement]],Alignement[],3,FALSE),"")</f>
        <v>Neutre</v>
      </c>
      <c r="S15" s="8">
        <f>IF(Aspects[[#This Row],[Men min]]&lt;8,0,1)</f>
        <v>0</v>
      </c>
      <c r="T15" s="8">
        <f>IF(OR(AND(Aspects[[#This Row],[Min stats]]&lt;=35,Aspects[[#This Row],[Loyauté]]&lt;&gt;"Loyal"),AND(Aspects[[#This Row],[Min stats]]&lt;=25,Aspects[[#This Row],[Loyauté]]="Loyal")),1,0)</f>
        <v>1</v>
      </c>
      <c r="U15" s="8">
        <f>IF(Aspects[[#This Row],[Max stats]]&gt;=43,1,0)</f>
        <v>1</v>
      </c>
      <c r="V15" s="8">
        <f>IF(OR(AND(Aspects[[#This Row],[Range stats]]&gt;=15,Aspects[[#This Row],[Range stats]]&lt;=27,Aspects[[#This Row],[Loyauté]]&lt;&gt;"Loyal"),AND(Aspects[[#This Row],[Range stats]]&gt;=27,Aspects[[#This Row],[Range stats]]&lt;=40,Aspects[[#This Row],[Loyauté]]="Loyal")),1,0)</f>
        <v>1</v>
      </c>
      <c r="W15" s="9"/>
    </row>
    <row r="16" spans="1:23" x14ac:dyDescent="0.25">
      <c r="A16" s="1" t="s">
        <v>80</v>
      </c>
      <c r="B16" s="16" t="str">
        <f>Aspects[[#This Row],[Phy min]] &amp; " - " &amp; Aspects[[#This Row],[Phy max]]</f>
        <v>3 - 18</v>
      </c>
      <c r="C16" s="13">
        <v>3</v>
      </c>
      <c r="D16" s="13">
        <v>18</v>
      </c>
      <c r="E16" s="16" t="str">
        <f>Aspects[[#This Row],[Men min]] &amp; " - " &amp; Aspects[[#This Row],[Men max]]</f>
        <v>12 - 20</v>
      </c>
      <c r="F16" s="13">
        <v>12</v>
      </c>
      <c r="G16" s="13">
        <v>20</v>
      </c>
      <c r="H16" s="16" t="str">
        <f>Aspects[[#This Row],[Cha min]] &amp; " - " &amp; Aspects[[#This Row],[Cha max]]</f>
        <v>10 - 20</v>
      </c>
      <c r="I16" s="13">
        <v>10</v>
      </c>
      <c r="J16" s="13">
        <v>20</v>
      </c>
      <c r="K16" s="14">
        <f>Aspects[[#This Row],[Phy min]]+Aspects[[#This Row],[Men min]]+Aspects[[#This Row],[Cha min]]</f>
        <v>25</v>
      </c>
      <c r="L16" s="14">
        <f>Aspects[[#This Row],[Phy max]]+Aspects[[#This Row],[Men max]]+Aspects[[#This Row],[Cha max]]</f>
        <v>58</v>
      </c>
      <c r="M16" s="14">
        <f>MAX(Aspects[[#This Row],[Max stats]]-Aspects[[#This Row],[Min stats]],0)</f>
        <v>33</v>
      </c>
      <c r="N16" s="12">
        <f>ROUNDUP(AVERAGE(Aspects[[#This Row],[Phy min]:[Phy max]])*WPHYSIC+AVERAGE(Aspects[[#This Row],[Men min]:[Men max]])*WMENTAL+AVERAGE(Aspects[[#This Row],[Cha min]:[Cha max]])*WCHARAC,0)</f>
        <v>10</v>
      </c>
      <c r="O16" s="2" t="s">
        <v>41</v>
      </c>
      <c r="P16" s="1" t="s">
        <v>10</v>
      </c>
      <c r="Q16" s="10" t="str">
        <f>IFERROR(VLOOKUP(Aspects[[#This Row],[Alignement]],Alignement[],2,FALSE),"")</f>
        <v>Bon</v>
      </c>
      <c r="R16" s="10" t="str">
        <f>IFERROR(VLOOKUP(Aspects[[#This Row],[Alignement]],Alignement[],3,FALSE),"")</f>
        <v>Loyal</v>
      </c>
      <c r="S16" s="8">
        <f>IF(Aspects[[#This Row],[Men min]]&lt;8,0,1)</f>
        <v>1</v>
      </c>
      <c r="T16" s="8">
        <f>IF(OR(AND(Aspects[[#This Row],[Min stats]]&lt;=35,Aspects[[#This Row],[Loyauté]]&lt;&gt;"Loyal"),AND(Aspects[[#This Row],[Min stats]]&lt;=25,Aspects[[#This Row],[Loyauté]]="Loyal")),1,0)</f>
        <v>1</v>
      </c>
      <c r="U16" s="8">
        <f>IF(Aspects[[#This Row],[Max stats]]&gt;=43,1,0)</f>
        <v>1</v>
      </c>
      <c r="V16" s="8">
        <f>IF(OR(AND(Aspects[[#This Row],[Range stats]]&gt;=15,Aspects[[#This Row],[Range stats]]&lt;=27,Aspects[[#This Row],[Loyauté]]&lt;&gt;"Loyal"),AND(Aspects[[#This Row],[Range stats]]&gt;=27,Aspects[[#This Row],[Range stats]]&lt;=40,Aspects[[#This Row],[Loyauté]]="Loyal")),1,0)</f>
        <v>1</v>
      </c>
      <c r="W16" s="9"/>
    </row>
    <row r="17" spans="1:23" x14ac:dyDescent="0.25">
      <c r="A17" s="1" t="s">
        <v>23</v>
      </c>
      <c r="B17" s="16" t="str">
        <f>Aspects[[#This Row],[Phy min]] &amp; " - " &amp; Aspects[[#This Row],[Phy max]]</f>
        <v>6 - 15</v>
      </c>
      <c r="C17" s="13">
        <v>6</v>
      </c>
      <c r="D17" s="13">
        <v>15</v>
      </c>
      <c r="E17" s="16" t="str">
        <f>Aspects[[#This Row],[Men min]] &amp; " - " &amp; Aspects[[#This Row],[Men max]]</f>
        <v>10 - 18</v>
      </c>
      <c r="F17" s="13">
        <v>10</v>
      </c>
      <c r="G17" s="13">
        <v>18</v>
      </c>
      <c r="H17" s="16" t="str">
        <f>Aspects[[#This Row],[Cha min]] &amp; " - " &amp; Aspects[[#This Row],[Cha max]]</f>
        <v>15 - 20</v>
      </c>
      <c r="I17" s="13">
        <v>15</v>
      </c>
      <c r="J17" s="13">
        <v>20</v>
      </c>
      <c r="K17" s="14">
        <f>Aspects[[#This Row],[Phy min]]+Aspects[[#This Row],[Men min]]+Aspects[[#This Row],[Cha min]]</f>
        <v>31</v>
      </c>
      <c r="L17" s="14">
        <f>Aspects[[#This Row],[Phy max]]+Aspects[[#This Row],[Men max]]+Aspects[[#This Row],[Cha max]]</f>
        <v>53</v>
      </c>
      <c r="M17" s="14">
        <f>MAX(Aspects[[#This Row],[Max stats]]-Aspects[[#This Row],[Min stats]],0)</f>
        <v>22</v>
      </c>
      <c r="N17" s="12">
        <f>ROUNDUP(AVERAGE(Aspects[[#This Row],[Phy min]:[Phy max]])*WPHYSIC+AVERAGE(Aspects[[#This Row],[Men min]:[Men max]])*WMENTAL+AVERAGE(Aspects[[#This Row],[Cha min]:[Cha max]])*WCHARAC,0)</f>
        <v>10</v>
      </c>
      <c r="O17" s="2" t="s">
        <v>43</v>
      </c>
      <c r="P17" s="1" t="s">
        <v>0</v>
      </c>
      <c r="Q17" s="10" t="str">
        <f>IFERROR(VLOOKUP(Aspects[[#This Row],[Alignement]],Alignement[],2,FALSE),"")</f>
        <v>Mauvais</v>
      </c>
      <c r="R17" s="10" t="str">
        <f>IFERROR(VLOOKUP(Aspects[[#This Row],[Alignement]],Alignement[],3,FALSE),"")</f>
        <v>Neutre</v>
      </c>
      <c r="S17" s="8">
        <f>IF(Aspects[[#This Row],[Men min]]&lt;8,0,1)</f>
        <v>1</v>
      </c>
      <c r="T17" s="8">
        <f>IF(OR(AND(Aspects[[#This Row],[Min stats]]&lt;=35,Aspects[[#This Row],[Loyauté]]&lt;&gt;"Loyal"),AND(Aspects[[#This Row],[Min stats]]&lt;=25,Aspects[[#This Row],[Loyauté]]="Loyal")),1,0)</f>
        <v>1</v>
      </c>
      <c r="U17" s="8">
        <f>IF(Aspects[[#This Row],[Max stats]]&gt;=43,1,0)</f>
        <v>1</v>
      </c>
      <c r="V17" s="8">
        <f>IF(OR(AND(Aspects[[#This Row],[Range stats]]&gt;=15,Aspects[[#This Row],[Range stats]]&lt;=27,Aspects[[#This Row],[Loyauté]]&lt;&gt;"Loyal"),AND(Aspects[[#This Row],[Range stats]]&gt;=27,Aspects[[#This Row],[Range stats]]&lt;=40,Aspects[[#This Row],[Loyauté]]="Loyal")),1,0)</f>
        <v>1</v>
      </c>
      <c r="W17" s="9"/>
    </row>
    <row r="18" spans="1:23" x14ac:dyDescent="0.25">
      <c r="A18" s="1" t="s">
        <v>21</v>
      </c>
      <c r="B18" s="16" t="str">
        <f>Aspects[[#This Row],[Phy min]] &amp; " - " &amp; Aspects[[#This Row],[Phy max]]</f>
        <v>0 - 15</v>
      </c>
      <c r="C18" s="13">
        <v>0</v>
      </c>
      <c r="D18" s="13">
        <v>15</v>
      </c>
      <c r="E18" s="16" t="str">
        <f>Aspects[[#This Row],[Men min]] &amp; " - " &amp; Aspects[[#This Row],[Men max]]</f>
        <v>15 - 20</v>
      </c>
      <c r="F18" s="13">
        <v>15</v>
      </c>
      <c r="G18" s="13">
        <v>20</v>
      </c>
      <c r="H18" s="16" t="str">
        <f>Aspects[[#This Row],[Cha min]] &amp; " - " &amp; Aspects[[#This Row],[Cha max]]</f>
        <v>5 - 20</v>
      </c>
      <c r="I18" s="13">
        <v>5</v>
      </c>
      <c r="J18" s="13">
        <v>20</v>
      </c>
      <c r="K18" s="14">
        <f>Aspects[[#This Row],[Phy min]]+Aspects[[#This Row],[Men min]]+Aspects[[#This Row],[Cha min]]</f>
        <v>20</v>
      </c>
      <c r="L18" s="14">
        <f>Aspects[[#This Row],[Phy max]]+Aspects[[#This Row],[Men max]]+Aspects[[#This Row],[Cha max]]</f>
        <v>55</v>
      </c>
      <c r="M18" s="14">
        <f>MAX(Aspects[[#This Row],[Max stats]]-Aspects[[#This Row],[Min stats]],0)</f>
        <v>35</v>
      </c>
      <c r="N18" s="12">
        <f>ROUNDUP(AVERAGE(Aspects[[#This Row],[Phy min]:[Phy max]])*WPHYSIC+AVERAGE(Aspects[[#This Row],[Men min]:[Men max]])*WMENTAL+AVERAGE(Aspects[[#This Row],[Cha min]:[Cha max]])*WCHARAC,0)</f>
        <v>9</v>
      </c>
      <c r="O18" s="2" t="s">
        <v>40</v>
      </c>
      <c r="P18" s="1" t="s">
        <v>9</v>
      </c>
      <c r="Q18" s="10" t="str">
        <f>IFERROR(VLOOKUP(Aspects[[#This Row],[Alignement]],Alignement[],2,FALSE),"")</f>
        <v>Neutre</v>
      </c>
      <c r="R18" s="10" t="str">
        <f>IFERROR(VLOOKUP(Aspects[[#This Row],[Alignement]],Alignement[],3,FALSE),"")</f>
        <v>Loyal</v>
      </c>
      <c r="S18" s="8">
        <f>IF(Aspects[[#This Row],[Men min]]&lt;8,0,1)</f>
        <v>1</v>
      </c>
      <c r="T18" s="8">
        <f>IF(OR(AND(Aspects[[#This Row],[Min stats]]&lt;=35,Aspects[[#This Row],[Loyauté]]&lt;&gt;"Loyal"),AND(Aspects[[#This Row],[Min stats]]&lt;=25,Aspects[[#This Row],[Loyauté]]="Loyal")),1,0)</f>
        <v>1</v>
      </c>
      <c r="U18" s="8">
        <f>IF(Aspects[[#This Row],[Max stats]]&gt;=43,1,0)</f>
        <v>1</v>
      </c>
      <c r="V18" s="8">
        <f>IF(OR(AND(Aspects[[#This Row],[Range stats]]&gt;=15,Aspects[[#This Row],[Range stats]]&lt;=27,Aspects[[#This Row],[Loyauté]]&lt;&gt;"Loyal"),AND(Aspects[[#This Row],[Range stats]]&gt;=27,Aspects[[#This Row],[Range stats]]&lt;=40,Aspects[[#This Row],[Loyauté]]="Loyal")),1,0)</f>
        <v>1</v>
      </c>
      <c r="W18" s="9"/>
    </row>
    <row r="19" spans="1:23" x14ac:dyDescent="0.25">
      <c r="A19" s="1" t="s">
        <v>54</v>
      </c>
      <c r="B19" s="16" t="str">
        <f>Aspects[[#This Row],[Phy min]] &amp; " - " &amp; Aspects[[#This Row],[Phy max]]</f>
        <v>6 - 13</v>
      </c>
      <c r="C19" s="13">
        <v>6</v>
      </c>
      <c r="D19" s="13">
        <v>13</v>
      </c>
      <c r="E19" s="16" t="str">
        <f>Aspects[[#This Row],[Men min]] &amp; " - " &amp; Aspects[[#This Row],[Men max]]</f>
        <v>15 - 20</v>
      </c>
      <c r="F19" s="13">
        <v>15</v>
      </c>
      <c r="G19" s="13">
        <v>20</v>
      </c>
      <c r="H19" s="16" t="str">
        <f>Aspects[[#This Row],[Cha min]] &amp; " - " &amp; Aspects[[#This Row],[Cha max]]</f>
        <v>10 - 20</v>
      </c>
      <c r="I19" s="13">
        <v>10</v>
      </c>
      <c r="J19" s="13">
        <v>20</v>
      </c>
      <c r="K19" s="14">
        <f>Aspects[[#This Row],[Phy min]]+Aspects[[#This Row],[Men min]]+Aspects[[#This Row],[Cha min]]</f>
        <v>31</v>
      </c>
      <c r="L19" s="14">
        <f>Aspects[[#This Row],[Phy max]]+Aspects[[#This Row],[Men max]]+Aspects[[#This Row],[Cha max]]</f>
        <v>53</v>
      </c>
      <c r="M19" s="14">
        <f>MAX(Aspects[[#This Row],[Max stats]]-Aspects[[#This Row],[Min stats]],0)</f>
        <v>22</v>
      </c>
      <c r="N19" s="12">
        <f>ROUNDUP(AVERAGE(Aspects[[#This Row],[Phy min]:[Phy max]])*WPHYSIC+AVERAGE(Aspects[[#This Row],[Men min]:[Men max]])*WMENTAL+AVERAGE(Aspects[[#This Row],[Cha min]:[Cha max]])*WCHARAC,0)</f>
        <v>10</v>
      </c>
      <c r="O19" s="2" t="s">
        <v>40</v>
      </c>
      <c r="P19" s="1" t="s">
        <v>8</v>
      </c>
      <c r="Q19" s="10" t="str">
        <f>IFERROR(VLOOKUP(Aspects[[#This Row],[Alignement]],Alignement[],2,FALSE),"")</f>
        <v>Mauvais</v>
      </c>
      <c r="R19" s="10" t="str">
        <f>IFERROR(VLOOKUP(Aspects[[#This Row],[Alignement]],Alignement[],3,FALSE),"")</f>
        <v>Chaotique</v>
      </c>
      <c r="S19" s="8">
        <f>IF(Aspects[[#This Row],[Men min]]&lt;8,0,1)</f>
        <v>1</v>
      </c>
      <c r="T19" s="8">
        <f>IF(OR(AND(Aspects[[#This Row],[Min stats]]&lt;=35,Aspects[[#This Row],[Loyauté]]&lt;&gt;"Loyal"),AND(Aspects[[#This Row],[Min stats]]&lt;=25,Aspects[[#This Row],[Loyauté]]="Loyal")),1,0)</f>
        <v>1</v>
      </c>
      <c r="U19" s="8">
        <f>IF(Aspects[[#This Row],[Max stats]]&gt;=43,1,0)</f>
        <v>1</v>
      </c>
      <c r="V19" s="8">
        <f>IF(OR(AND(Aspects[[#This Row],[Range stats]]&gt;=15,Aspects[[#This Row],[Range stats]]&lt;=27,Aspects[[#This Row],[Loyauté]]&lt;&gt;"Loyal"),AND(Aspects[[#This Row],[Range stats]]&gt;=27,Aspects[[#This Row],[Range stats]]&lt;=40,Aspects[[#This Row],[Loyauté]]="Loyal")),1,0)</f>
        <v>1</v>
      </c>
      <c r="W19" s="9"/>
    </row>
    <row r="20" spans="1:23" x14ac:dyDescent="0.25">
      <c r="A20" s="1" t="s">
        <v>46</v>
      </c>
      <c r="B20" s="16" t="str">
        <f>Aspects[[#This Row],[Phy min]] &amp; " - " &amp; Aspects[[#This Row],[Phy max]]</f>
        <v>10 - 22</v>
      </c>
      <c r="C20" s="13">
        <v>10</v>
      </c>
      <c r="D20" s="13">
        <v>22</v>
      </c>
      <c r="E20" s="16" t="str">
        <f>Aspects[[#This Row],[Men min]] &amp; " - " &amp; Aspects[[#This Row],[Men max]]</f>
        <v>10 - 20</v>
      </c>
      <c r="F20" s="13">
        <v>10</v>
      </c>
      <c r="G20" s="13">
        <v>20</v>
      </c>
      <c r="H20" s="16" t="str">
        <f>Aspects[[#This Row],[Cha min]] &amp; " - " &amp; Aspects[[#This Row],[Cha max]]</f>
        <v>0 - 12</v>
      </c>
      <c r="I20" s="13">
        <v>0</v>
      </c>
      <c r="J20" s="13">
        <v>12</v>
      </c>
      <c r="K20" s="14">
        <f>Aspects[[#This Row],[Phy min]]+Aspects[[#This Row],[Men min]]+Aspects[[#This Row],[Cha min]]</f>
        <v>20</v>
      </c>
      <c r="L20" s="14">
        <f>Aspects[[#This Row],[Phy max]]+Aspects[[#This Row],[Men max]]+Aspects[[#This Row],[Cha max]]</f>
        <v>54</v>
      </c>
      <c r="M20" s="14">
        <f>MAX(Aspects[[#This Row],[Max stats]]-Aspects[[#This Row],[Min stats]],0)</f>
        <v>34</v>
      </c>
      <c r="N20" s="12">
        <f>ROUNDUP(AVERAGE(Aspects[[#This Row],[Phy min]:[Phy max]])*WPHYSIC+AVERAGE(Aspects[[#This Row],[Men min]:[Men max]])*WMENTAL+AVERAGE(Aspects[[#This Row],[Cha min]:[Cha max]])*WCHARAC,0)</f>
        <v>8</v>
      </c>
      <c r="O20" s="2" t="s">
        <v>38</v>
      </c>
      <c r="P20" s="1" t="s">
        <v>9</v>
      </c>
      <c r="Q20" s="10" t="str">
        <f>IFERROR(VLOOKUP(Aspects[[#This Row],[Alignement]],Alignement[],2,FALSE),"")</f>
        <v>Neutre</v>
      </c>
      <c r="R20" s="10" t="str">
        <f>IFERROR(VLOOKUP(Aspects[[#This Row],[Alignement]],Alignement[],3,FALSE),"")</f>
        <v>Loyal</v>
      </c>
      <c r="S20" s="8">
        <f>IF(Aspects[[#This Row],[Men min]]&lt;8,0,1)</f>
        <v>1</v>
      </c>
      <c r="T20" s="8">
        <f>IF(OR(AND(Aspects[[#This Row],[Min stats]]&lt;=35,Aspects[[#This Row],[Loyauté]]&lt;&gt;"Loyal"),AND(Aspects[[#This Row],[Min stats]]&lt;=25,Aspects[[#This Row],[Loyauté]]="Loyal")),1,0)</f>
        <v>1</v>
      </c>
      <c r="U20" s="8">
        <f>IF(Aspects[[#This Row],[Max stats]]&gt;=43,1,0)</f>
        <v>1</v>
      </c>
      <c r="V20" s="8">
        <f>IF(OR(AND(Aspects[[#This Row],[Range stats]]&gt;=15,Aspects[[#This Row],[Range stats]]&lt;=27,Aspects[[#This Row],[Loyauté]]&lt;&gt;"Loyal"),AND(Aspects[[#This Row],[Range stats]]&gt;=27,Aspects[[#This Row],[Range stats]]&lt;=40,Aspects[[#This Row],[Loyauté]]="Loyal")),1,0)</f>
        <v>1</v>
      </c>
      <c r="W20" s="9"/>
    </row>
    <row r="21" spans="1:23" x14ac:dyDescent="0.25">
      <c r="A21" s="1" t="s">
        <v>59</v>
      </c>
      <c r="B21" s="16" t="str">
        <f>Aspects[[#This Row],[Phy min]] &amp; " - " &amp; Aspects[[#This Row],[Phy max]]</f>
        <v>10 - 18</v>
      </c>
      <c r="C21" s="13">
        <v>10</v>
      </c>
      <c r="D21" s="13">
        <v>18</v>
      </c>
      <c r="E21" s="16" t="str">
        <f>Aspects[[#This Row],[Men min]] &amp; " - " &amp; Aspects[[#This Row],[Men max]]</f>
        <v>12 - 20</v>
      </c>
      <c r="F21" s="13">
        <v>12</v>
      </c>
      <c r="G21" s="13">
        <v>20</v>
      </c>
      <c r="H21" s="16" t="str">
        <f>Aspects[[#This Row],[Cha min]] &amp; " - " &amp; Aspects[[#This Row],[Cha max]]</f>
        <v>10 - 18</v>
      </c>
      <c r="I21" s="13">
        <v>10</v>
      </c>
      <c r="J21" s="13">
        <v>18</v>
      </c>
      <c r="K21" s="14">
        <f>Aspects[[#This Row],[Phy min]]+Aspects[[#This Row],[Men min]]+Aspects[[#This Row],[Cha min]]</f>
        <v>32</v>
      </c>
      <c r="L21" s="14">
        <f>Aspects[[#This Row],[Phy max]]+Aspects[[#This Row],[Men max]]+Aspects[[#This Row],[Cha max]]</f>
        <v>56</v>
      </c>
      <c r="M21" s="14">
        <f>MAX(Aspects[[#This Row],[Max stats]]-Aspects[[#This Row],[Min stats]],0)</f>
        <v>24</v>
      </c>
      <c r="N21" s="12">
        <f>ROUNDUP(AVERAGE(Aspects[[#This Row],[Phy min]:[Phy max]])*WPHYSIC+AVERAGE(Aspects[[#This Row],[Men min]:[Men max]])*WMENTAL+AVERAGE(Aspects[[#This Row],[Cha min]:[Cha max]])*WCHARAC,0)</f>
        <v>10</v>
      </c>
      <c r="O21" s="2" t="s">
        <v>41</v>
      </c>
      <c r="P21" s="1" t="s">
        <v>0</v>
      </c>
      <c r="Q21" s="10" t="str">
        <f>IFERROR(VLOOKUP(Aspects[[#This Row],[Alignement]],Alignement[],2,FALSE),"")</f>
        <v>Mauvais</v>
      </c>
      <c r="R21" s="10" t="str">
        <f>IFERROR(VLOOKUP(Aspects[[#This Row],[Alignement]],Alignement[],3,FALSE),"")</f>
        <v>Neutre</v>
      </c>
      <c r="S21" s="8">
        <f>IF(Aspects[[#This Row],[Men min]]&lt;8,0,1)</f>
        <v>1</v>
      </c>
      <c r="T21" s="8">
        <f>IF(OR(AND(Aspects[[#This Row],[Min stats]]&lt;=35,Aspects[[#This Row],[Loyauté]]&lt;&gt;"Loyal"),AND(Aspects[[#This Row],[Min stats]]&lt;=25,Aspects[[#This Row],[Loyauté]]="Loyal")),1,0)</f>
        <v>1</v>
      </c>
      <c r="U21" s="8">
        <f>IF(Aspects[[#This Row],[Max stats]]&gt;=43,1,0)</f>
        <v>1</v>
      </c>
      <c r="V21" s="8">
        <f>IF(OR(AND(Aspects[[#This Row],[Range stats]]&gt;=15,Aspects[[#This Row],[Range stats]]&lt;=27,Aspects[[#This Row],[Loyauté]]&lt;&gt;"Loyal"),AND(Aspects[[#This Row],[Range stats]]&gt;=27,Aspects[[#This Row],[Range stats]]&lt;=40,Aspects[[#This Row],[Loyauté]]="Loyal")),1,0)</f>
        <v>1</v>
      </c>
      <c r="W21" s="9"/>
    </row>
    <row r="22" spans="1:23" x14ac:dyDescent="0.25">
      <c r="A22" s="1" t="s">
        <v>52</v>
      </c>
      <c r="B22" s="16" t="str">
        <f>Aspects[[#This Row],[Phy min]] &amp; " - " &amp; Aspects[[#This Row],[Phy max]]</f>
        <v>6 - 18</v>
      </c>
      <c r="C22" s="13">
        <v>6</v>
      </c>
      <c r="D22" s="13">
        <v>18</v>
      </c>
      <c r="E22" s="16" t="str">
        <f>Aspects[[#This Row],[Men min]] &amp; " - " &amp; Aspects[[#This Row],[Men max]]</f>
        <v>8 - 20</v>
      </c>
      <c r="F22" s="13">
        <v>8</v>
      </c>
      <c r="G22" s="13">
        <v>20</v>
      </c>
      <c r="H22" s="16" t="str">
        <f>Aspects[[#This Row],[Cha min]] &amp; " - " &amp; Aspects[[#This Row],[Cha max]]</f>
        <v>8 - 20</v>
      </c>
      <c r="I22" s="13">
        <v>8</v>
      </c>
      <c r="J22" s="13">
        <v>20</v>
      </c>
      <c r="K22" s="14">
        <f>Aspects[[#This Row],[Phy min]]+Aspects[[#This Row],[Men min]]+Aspects[[#This Row],[Cha min]]</f>
        <v>22</v>
      </c>
      <c r="L22" s="14">
        <f>Aspects[[#This Row],[Phy max]]+Aspects[[#This Row],[Men max]]+Aspects[[#This Row],[Cha max]]</f>
        <v>58</v>
      </c>
      <c r="M22" s="14">
        <f>MAX(Aspects[[#This Row],[Max stats]]-Aspects[[#This Row],[Min stats]],0)</f>
        <v>36</v>
      </c>
      <c r="N22" s="12">
        <f>ROUNDUP(AVERAGE(Aspects[[#This Row],[Phy min]:[Phy max]])*WPHYSIC+AVERAGE(Aspects[[#This Row],[Men min]:[Men max]])*WMENTAL+AVERAGE(Aspects[[#This Row],[Cha min]:[Cha max]])*WCHARAC,0)</f>
        <v>9</v>
      </c>
      <c r="O22" s="2" t="s">
        <v>42</v>
      </c>
      <c r="P22" s="1" t="s">
        <v>9</v>
      </c>
      <c r="Q22" s="10" t="str">
        <f>IFERROR(VLOOKUP(Aspects[[#This Row],[Alignement]],Alignement[],2,FALSE),"")</f>
        <v>Neutre</v>
      </c>
      <c r="R22" s="10" t="str">
        <f>IFERROR(VLOOKUP(Aspects[[#This Row],[Alignement]],Alignement[],3,FALSE),"")</f>
        <v>Loyal</v>
      </c>
      <c r="S22" s="8">
        <f>IF(Aspects[[#This Row],[Men min]]&lt;8,0,1)</f>
        <v>1</v>
      </c>
      <c r="T22" s="8">
        <f>IF(OR(AND(Aspects[[#This Row],[Min stats]]&lt;=35,Aspects[[#This Row],[Loyauté]]&lt;&gt;"Loyal"),AND(Aspects[[#This Row],[Min stats]]&lt;=25,Aspects[[#This Row],[Loyauté]]="Loyal")),1,0)</f>
        <v>1</v>
      </c>
      <c r="U22" s="8">
        <f>IF(Aspects[[#This Row],[Max stats]]&gt;=43,1,0)</f>
        <v>1</v>
      </c>
      <c r="V22" s="8">
        <f>IF(OR(AND(Aspects[[#This Row],[Range stats]]&gt;=15,Aspects[[#This Row],[Range stats]]&lt;=27,Aspects[[#This Row],[Loyauté]]&lt;&gt;"Loyal"),AND(Aspects[[#This Row],[Range stats]]&gt;=27,Aspects[[#This Row],[Range stats]]&lt;=40,Aspects[[#This Row],[Loyauté]]="Loyal")),1,0)</f>
        <v>1</v>
      </c>
      <c r="W22" s="9"/>
    </row>
    <row r="23" spans="1:23" x14ac:dyDescent="0.25">
      <c r="A23" s="1" t="s">
        <v>16</v>
      </c>
      <c r="B23" s="16" t="str">
        <f>Aspects[[#This Row],[Phy min]] &amp; " - " &amp; Aspects[[#This Row],[Phy max]]</f>
        <v>8 - 13</v>
      </c>
      <c r="C23" s="13">
        <v>8</v>
      </c>
      <c r="D23" s="13">
        <v>13</v>
      </c>
      <c r="E23" s="16" t="str">
        <f>Aspects[[#This Row],[Men min]] &amp; " - " &amp; Aspects[[#This Row],[Men max]]</f>
        <v>10 - 20</v>
      </c>
      <c r="F23" s="13">
        <v>10</v>
      </c>
      <c r="G23" s="13">
        <v>20</v>
      </c>
      <c r="H23" s="16" t="str">
        <f>Aspects[[#This Row],[Cha min]] &amp; " - " &amp; Aspects[[#This Row],[Cha max]]</f>
        <v>5 - 15</v>
      </c>
      <c r="I23" s="13">
        <v>5</v>
      </c>
      <c r="J23" s="13">
        <v>15</v>
      </c>
      <c r="K23" s="14">
        <f>Aspects[[#This Row],[Phy min]]+Aspects[[#This Row],[Men min]]+Aspects[[#This Row],[Cha min]]</f>
        <v>23</v>
      </c>
      <c r="L23" s="14">
        <f>Aspects[[#This Row],[Phy max]]+Aspects[[#This Row],[Men max]]+Aspects[[#This Row],[Cha max]]</f>
        <v>48</v>
      </c>
      <c r="M23" s="14">
        <f>MAX(Aspects[[#This Row],[Max stats]]-Aspects[[#This Row],[Min stats]],0)</f>
        <v>25</v>
      </c>
      <c r="N23" s="12">
        <f>ROUNDUP(AVERAGE(Aspects[[#This Row],[Phy min]:[Phy max]])*WPHYSIC+AVERAGE(Aspects[[#This Row],[Men min]:[Men max]])*WMENTAL+AVERAGE(Aspects[[#This Row],[Cha min]:[Cha max]])*WCHARAC,0)</f>
        <v>8</v>
      </c>
      <c r="O23" s="2" t="s">
        <v>41</v>
      </c>
      <c r="P23" s="1" t="s">
        <v>5</v>
      </c>
      <c r="Q23" s="10" t="str">
        <f>IFERROR(VLOOKUP(Aspects[[#This Row],[Alignement]],Alignement[],2,FALSE),"")</f>
        <v>Neutre</v>
      </c>
      <c r="R23" s="10" t="str">
        <f>IFERROR(VLOOKUP(Aspects[[#This Row],[Alignement]],Alignement[],3,FALSE),"")</f>
        <v>Neutre</v>
      </c>
      <c r="S23" s="8">
        <f>IF(Aspects[[#This Row],[Men min]]&lt;8,0,1)</f>
        <v>1</v>
      </c>
      <c r="T23" s="8">
        <f>IF(OR(AND(Aspects[[#This Row],[Min stats]]&lt;=35,Aspects[[#This Row],[Loyauté]]&lt;&gt;"Loyal"),AND(Aspects[[#This Row],[Min stats]]&lt;=25,Aspects[[#This Row],[Loyauté]]="Loyal")),1,0)</f>
        <v>1</v>
      </c>
      <c r="U23" s="8">
        <f>IF(Aspects[[#This Row],[Max stats]]&gt;=43,1,0)</f>
        <v>1</v>
      </c>
      <c r="V23" s="8">
        <f>IF(OR(AND(Aspects[[#This Row],[Range stats]]&gt;=15,Aspects[[#This Row],[Range stats]]&lt;=27,Aspects[[#This Row],[Loyauté]]&lt;&gt;"Loyal"),AND(Aspects[[#This Row],[Range stats]]&gt;=27,Aspects[[#This Row],[Range stats]]&lt;=40,Aspects[[#This Row],[Loyauté]]="Loyal")),1,0)</f>
        <v>1</v>
      </c>
      <c r="W23" s="9"/>
    </row>
    <row r="24" spans="1:23" x14ac:dyDescent="0.25">
      <c r="A24" s="1" t="s">
        <v>49</v>
      </c>
      <c r="B24" s="16" t="str">
        <f>Aspects[[#This Row],[Phy min]] &amp; " - " &amp; Aspects[[#This Row],[Phy max]]</f>
        <v>18 - 28</v>
      </c>
      <c r="C24" s="13">
        <v>18</v>
      </c>
      <c r="D24" s="13">
        <v>28</v>
      </c>
      <c r="E24" s="16" t="str">
        <f>Aspects[[#This Row],[Men min]] &amp; " - " &amp; Aspects[[#This Row],[Men max]]</f>
        <v>0 - 10</v>
      </c>
      <c r="F24" s="13">
        <v>0</v>
      </c>
      <c r="G24" s="13">
        <v>10</v>
      </c>
      <c r="H24" s="16" t="str">
        <f>Aspects[[#This Row],[Cha min]] &amp; " - " &amp; Aspects[[#This Row],[Cha max]]</f>
        <v>3 - 10</v>
      </c>
      <c r="I24" s="13">
        <v>3</v>
      </c>
      <c r="J24" s="13">
        <v>10</v>
      </c>
      <c r="K24" s="14">
        <f>Aspects[[#This Row],[Phy min]]+Aspects[[#This Row],[Men min]]+Aspects[[#This Row],[Cha min]]</f>
        <v>21</v>
      </c>
      <c r="L24" s="14">
        <f>Aspects[[#This Row],[Phy max]]+Aspects[[#This Row],[Men max]]+Aspects[[#This Row],[Cha max]]</f>
        <v>48</v>
      </c>
      <c r="M24" s="14">
        <f>MAX(Aspects[[#This Row],[Max stats]]-Aspects[[#This Row],[Min stats]],0)</f>
        <v>27</v>
      </c>
      <c r="N24" s="12">
        <f>ROUNDUP(AVERAGE(Aspects[[#This Row],[Phy min]:[Phy max]])*WPHYSIC+AVERAGE(Aspects[[#This Row],[Men min]:[Men max]])*WMENTAL+AVERAGE(Aspects[[#This Row],[Cha min]:[Cha max]])*WCHARAC,0)</f>
        <v>7</v>
      </c>
      <c r="O24" s="2" t="s">
        <v>38</v>
      </c>
      <c r="P24" s="1" t="s">
        <v>4</v>
      </c>
      <c r="Q24" s="10" t="str">
        <f>IFERROR(VLOOKUP(Aspects[[#This Row],[Alignement]],Alignement[],2,FALSE),"")</f>
        <v>Neutre</v>
      </c>
      <c r="R24" s="10" t="str">
        <f>IFERROR(VLOOKUP(Aspects[[#This Row],[Alignement]],Alignement[],3,FALSE),"")</f>
        <v>Chaotique</v>
      </c>
      <c r="S24" s="8">
        <f>IF(Aspects[[#This Row],[Men min]]&lt;8,0,1)</f>
        <v>0</v>
      </c>
      <c r="T24" s="8">
        <f>IF(OR(AND(Aspects[[#This Row],[Min stats]]&lt;=35,Aspects[[#This Row],[Loyauté]]&lt;&gt;"Loyal"),AND(Aspects[[#This Row],[Min stats]]&lt;=25,Aspects[[#This Row],[Loyauté]]="Loyal")),1,0)</f>
        <v>1</v>
      </c>
      <c r="U24" s="8">
        <f>IF(Aspects[[#This Row],[Max stats]]&gt;=43,1,0)</f>
        <v>1</v>
      </c>
      <c r="V24" s="8">
        <f>IF(OR(AND(Aspects[[#This Row],[Range stats]]&gt;=15,Aspects[[#This Row],[Range stats]]&lt;=27,Aspects[[#This Row],[Loyauté]]&lt;&gt;"Loyal"),AND(Aspects[[#This Row],[Range stats]]&gt;=27,Aspects[[#This Row],[Range stats]]&lt;=40,Aspects[[#This Row],[Loyauté]]="Loyal")),1,0)</f>
        <v>1</v>
      </c>
      <c r="W24" s="9"/>
    </row>
    <row r="25" spans="1:23" x14ac:dyDescent="0.25">
      <c r="A25" s="1" t="s">
        <v>19</v>
      </c>
      <c r="B25" s="16" t="str">
        <f>Aspects[[#This Row],[Phy min]] &amp; " - " &amp; Aspects[[#This Row],[Phy max]]</f>
        <v>10 - 20</v>
      </c>
      <c r="C25" s="13">
        <v>10</v>
      </c>
      <c r="D25" s="13">
        <v>20</v>
      </c>
      <c r="E25" s="16" t="str">
        <f>Aspects[[#This Row],[Men min]] &amp; " - " &amp; Aspects[[#This Row],[Men max]]</f>
        <v>10 - 18</v>
      </c>
      <c r="F25" s="13">
        <v>10</v>
      </c>
      <c r="G25" s="13">
        <v>18</v>
      </c>
      <c r="H25" s="16" t="str">
        <f>Aspects[[#This Row],[Cha min]] &amp; " - " &amp; Aspects[[#This Row],[Cha max]]</f>
        <v>12 - 20</v>
      </c>
      <c r="I25" s="13">
        <v>12</v>
      </c>
      <c r="J25" s="13">
        <v>20</v>
      </c>
      <c r="K25" s="14">
        <f>Aspects[[#This Row],[Phy min]]+Aspects[[#This Row],[Men min]]+Aspects[[#This Row],[Cha min]]</f>
        <v>32</v>
      </c>
      <c r="L25" s="14">
        <f>Aspects[[#This Row],[Phy max]]+Aspects[[#This Row],[Men max]]+Aspects[[#This Row],[Cha max]]</f>
        <v>58</v>
      </c>
      <c r="M25" s="14">
        <f>MAX(Aspects[[#This Row],[Max stats]]-Aspects[[#This Row],[Min stats]],0)</f>
        <v>26</v>
      </c>
      <c r="N25" s="12">
        <f>ROUNDUP(AVERAGE(Aspects[[#This Row],[Phy min]:[Phy max]])*WPHYSIC+AVERAGE(Aspects[[#This Row],[Men min]:[Men max]])*WMENTAL+AVERAGE(Aspects[[#This Row],[Cha min]:[Cha max]])*WCHARAC,0)</f>
        <v>10</v>
      </c>
      <c r="O25" s="2" t="s">
        <v>43</v>
      </c>
      <c r="P25" s="1" t="s">
        <v>0</v>
      </c>
      <c r="Q25" s="10" t="str">
        <f>IFERROR(VLOOKUP(Aspects[[#This Row],[Alignement]],Alignement[],2,FALSE),"")</f>
        <v>Mauvais</v>
      </c>
      <c r="R25" s="10" t="str">
        <f>IFERROR(VLOOKUP(Aspects[[#This Row],[Alignement]],Alignement[],3,FALSE),"")</f>
        <v>Neutre</v>
      </c>
      <c r="S25" s="8">
        <f>IF(Aspects[[#This Row],[Men min]]&lt;8,0,1)</f>
        <v>1</v>
      </c>
      <c r="T25" s="8">
        <f>IF(OR(AND(Aspects[[#This Row],[Min stats]]&lt;=35,Aspects[[#This Row],[Loyauté]]&lt;&gt;"Loyal"),AND(Aspects[[#This Row],[Min stats]]&lt;=25,Aspects[[#This Row],[Loyauté]]="Loyal")),1,0)</f>
        <v>1</v>
      </c>
      <c r="U25" s="8">
        <f>IF(Aspects[[#This Row],[Max stats]]&gt;=43,1,0)</f>
        <v>1</v>
      </c>
      <c r="V25" s="8">
        <f>IF(OR(AND(Aspects[[#This Row],[Range stats]]&gt;=15,Aspects[[#This Row],[Range stats]]&lt;=27,Aspects[[#This Row],[Loyauté]]&lt;&gt;"Loyal"),AND(Aspects[[#This Row],[Range stats]]&gt;=27,Aspects[[#This Row],[Range stats]]&lt;=40,Aspects[[#This Row],[Loyauté]]="Loyal")),1,0)</f>
        <v>1</v>
      </c>
      <c r="W25" s="9"/>
    </row>
    <row r="26" spans="1:23" x14ac:dyDescent="0.25">
      <c r="A26" s="1" t="s">
        <v>50</v>
      </c>
      <c r="B26" s="16" t="str">
        <f>Aspects[[#This Row],[Phy min]] &amp; " - " &amp; Aspects[[#This Row],[Phy max]]</f>
        <v>15 - 27</v>
      </c>
      <c r="C26" s="13">
        <v>15</v>
      </c>
      <c r="D26" s="13">
        <v>27</v>
      </c>
      <c r="E26" s="16" t="str">
        <f>Aspects[[#This Row],[Men min]] &amp; " - " &amp; Aspects[[#This Row],[Men max]]</f>
        <v>10 - 15</v>
      </c>
      <c r="F26" s="13">
        <v>10</v>
      </c>
      <c r="G26" s="13">
        <v>15</v>
      </c>
      <c r="H26" s="16" t="str">
        <f>Aspects[[#This Row],[Cha min]] &amp; " - " &amp; Aspects[[#This Row],[Cha max]]</f>
        <v>10 - 20</v>
      </c>
      <c r="I26" s="13">
        <v>10</v>
      </c>
      <c r="J26" s="13">
        <v>20</v>
      </c>
      <c r="K26" s="14">
        <f>Aspects[[#This Row],[Phy min]]+Aspects[[#This Row],[Men min]]+Aspects[[#This Row],[Cha min]]</f>
        <v>35</v>
      </c>
      <c r="L26" s="14">
        <f>Aspects[[#This Row],[Phy max]]+Aspects[[#This Row],[Men max]]+Aspects[[#This Row],[Cha max]]</f>
        <v>62</v>
      </c>
      <c r="M26" s="14">
        <f>MAX(Aspects[[#This Row],[Max stats]]-Aspects[[#This Row],[Min stats]],0)</f>
        <v>27</v>
      </c>
      <c r="N26" s="12">
        <f>ROUNDUP(AVERAGE(Aspects[[#This Row],[Phy min]:[Phy max]])*WPHYSIC+AVERAGE(Aspects[[#This Row],[Men min]:[Men max]])*WMENTAL+AVERAGE(Aspects[[#This Row],[Cha min]:[Cha max]])*WCHARAC,0)</f>
        <v>11</v>
      </c>
      <c r="O26" s="2" t="s">
        <v>39</v>
      </c>
      <c r="P26" s="1" t="s">
        <v>8</v>
      </c>
      <c r="Q26" s="10" t="str">
        <f>IFERROR(VLOOKUP(Aspects[[#This Row],[Alignement]],Alignement[],2,FALSE),"")</f>
        <v>Mauvais</v>
      </c>
      <c r="R26" s="10" t="str">
        <f>IFERROR(VLOOKUP(Aspects[[#This Row],[Alignement]],Alignement[],3,FALSE),"")</f>
        <v>Chaotique</v>
      </c>
      <c r="S26" s="8">
        <f>IF(Aspects[[#This Row],[Men min]]&lt;8,0,1)</f>
        <v>1</v>
      </c>
      <c r="T26" s="8">
        <f>IF(OR(AND(Aspects[[#This Row],[Min stats]]&lt;=35,Aspects[[#This Row],[Loyauté]]&lt;&gt;"Loyal"),AND(Aspects[[#This Row],[Min stats]]&lt;=25,Aspects[[#This Row],[Loyauté]]="Loyal")),1,0)</f>
        <v>1</v>
      </c>
      <c r="U26" s="8">
        <f>IF(Aspects[[#This Row],[Max stats]]&gt;=43,1,0)</f>
        <v>1</v>
      </c>
      <c r="V26" s="8">
        <f>IF(OR(AND(Aspects[[#This Row],[Range stats]]&gt;=15,Aspects[[#This Row],[Range stats]]&lt;=27,Aspects[[#This Row],[Loyauté]]&lt;&gt;"Loyal"),AND(Aspects[[#This Row],[Range stats]]&gt;=27,Aspects[[#This Row],[Range stats]]&lt;=40,Aspects[[#This Row],[Loyauté]]="Loyal")),1,0)</f>
        <v>1</v>
      </c>
      <c r="W26" s="9"/>
    </row>
    <row r="27" spans="1:23" x14ac:dyDescent="0.25">
      <c r="A27" s="1" t="s">
        <v>63</v>
      </c>
      <c r="B27" s="16" t="str">
        <f>Aspects[[#This Row],[Phy min]] &amp; " - " &amp; Aspects[[#This Row],[Phy max]]</f>
        <v>12 - 20</v>
      </c>
      <c r="C27" s="13">
        <v>12</v>
      </c>
      <c r="D27" s="13">
        <v>20</v>
      </c>
      <c r="E27" s="16" t="str">
        <f>Aspects[[#This Row],[Men min]] &amp; " - " &amp; Aspects[[#This Row],[Men max]]</f>
        <v>8 - 18</v>
      </c>
      <c r="F27" s="13">
        <v>8</v>
      </c>
      <c r="G27" s="13">
        <v>18</v>
      </c>
      <c r="H27" s="16" t="str">
        <f>Aspects[[#This Row],[Cha min]] &amp; " - " &amp; Aspects[[#This Row],[Cha max]]</f>
        <v>12 - 20</v>
      </c>
      <c r="I27" s="13">
        <v>12</v>
      </c>
      <c r="J27" s="13">
        <v>20</v>
      </c>
      <c r="K27" s="14">
        <f>Aspects[[#This Row],[Phy min]]+Aspects[[#This Row],[Men min]]+Aspects[[#This Row],[Cha min]]</f>
        <v>32</v>
      </c>
      <c r="L27" s="14">
        <f>Aspects[[#This Row],[Phy max]]+Aspects[[#This Row],[Men max]]+Aspects[[#This Row],[Cha max]]</f>
        <v>58</v>
      </c>
      <c r="M27" s="14">
        <f>MAX(Aspects[[#This Row],[Max stats]]-Aspects[[#This Row],[Min stats]],0)</f>
        <v>26</v>
      </c>
      <c r="N27" s="12">
        <f>ROUNDUP(AVERAGE(Aspects[[#This Row],[Phy min]:[Phy max]])*WPHYSIC+AVERAGE(Aspects[[#This Row],[Men min]:[Men max]])*WMENTAL+AVERAGE(Aspects[[#This Row],[Cha min]:[Cha max]])*WCHARAC,0)</f>
        <v>10</v>
      </c>
      <c r="O27" s="2" t="s">
        <v>43</v>
      </c>
      <c r="P27" s="1" t="s">
        <v>8</v>
      </c>
      <c r="Q27" s="10" t="str">
        <f>IFERROR(VLOOKUP(Aspects[[#This Row],[Alignement]],Alignement[],2,FALSE),"")</f>
        <v>Mauvais</v>
      </c>
      <c r="R27" s="10" t="str">
        <f>IFERROR(VLOOKUP(Aspects[[#This Row],[Alignement]],Alignement[],3,FALSE),"")</f>
        <v>Chaotique</v>
      </c>
      <c r="S27" s="8">
        <f>IF(Aspects[[#This Row],[Men min]]&lt;8,0,1)</f>
        <v>1</v>
      </c>
      <c r="T27" s="8">
        <f>IF(OR(AND(Aspects[[#This Row],[Min stats]]&lt;=35,Aspects[[#This Row],[Loyauté]]&lt;&gt;"Loyal"),AND(Aspects[[#This Row],[Min stats]]&lt;=25,Aspects[[#This Row],[Loyauté]]="Loyal")),1,0)</f>
        <v>1</v>
      </c>
      <c r="U27" s="8">
        <f>IF(Aspects[[#This Row],[Max stats]]&gt;=43,1,0)</f>
        <v>1</v>
      </c>
      <c r="V27" s="8">
        <f>IF(OR(AND(Aspects[[#This Row],[Range stats]]&gt;=15,Aspects[[#This Row],[Range stats]]&lt;=27,Aspects[[#This Row],[Loyauté]]&lt;&gt;"Loyal"),AND(Aspects[[#This Row],[Range stats]]&gt;=27,Aspects[[#This Row],[Range stats]]&lt;=40,Aspects[[#This Row],[Loyauté]]="Loyal")),1,0)</f>
        <v>1</v>
      </c>
      <c r="W27" s="9"/>
    </row>
    <row r="28" spans="1:23" x14ac:dyDescent="0.25">
      <c r="A28" s="1" t="s">
        <v>79</v>
      </c>
      <c r="B28" s="16" t="str">
        <f>Aspects[[#This Row],[Phy min]] &amp; " - " &amp; Aspects[[#This Row],[Phy max]]</f>
        <v>15 - 23</v>
      </c>
      <c r="C28" s="13">
        <v>15</v>
      </c>
      <c r="D28" s="13">
        <v>23</v>
      </c>
      <c r="E28" s="16" t="str">
        <f>Aspects[[#This Row],[Men min]] &amp; " - " &amp; Aspects[[#This Row],[Men max]]</f>
        <v>8 - 15</v>
      </c>
      <c r="F28" s="13">
        <v>8</v>
      </c>
      <c r="G28" s="13">
        <v>15</v>
      </c>
      <c r="H28" s="16" t="str">
        <f>Aspects[[#This Row],[Cha min]] &amp; " - " &amp; Aspects[[#This Row],[Cha max]]</f>
        <v>10 - 18</v>
      </c>
      <c r="I28" s="13">
        <v>10</v>
      </c>
      <c r="J28" s="13">
        <v>18</v>
      </c>
      <c r="K28" s="14">
        <f>Aspects[[#This Row],[Phy min]]+Aspects[[#This Row],[Men min]]+Aspects[[#This Row],[Cha min]]</f>
        <v>33</v>
      </c>
      <c r="L28" s="14">
        <f>Aspects[[#This Row],[Phy max]]+Aspects[[#This Row],[Men max]]+Aspects[[#This Row],[Cha max]]</f>
        <v>56</v>
      </c>
      <c r="M28" s="14">
        <f>MAX(Aspects[[#This Row],[Max stats]]-Aspects[[#This Row],[Min stats]],0)</f>
        <v>23</v>
      </c>
      <c r="N28" s="12">
        <f>ROUNDUP(AVERAGE(Aspects[[#This Row],[Phy min]:[Phy max]])*WPHYSIC+AVERAGE(Aspects[[#This Row],[Men min]:[Men max]])*WMENTAL+AVERAGE(Aspects[[#This Row],[Cha min]:[Cha max]])*WCHARAC,0)</f>
        <v>10</v>
      </c>
      <c r="O28" s="2" t="s">
        <v>38</v>
      </c>
      <c r="P28" s="1" t="s">
        <v>6</v>
      </c>
      <c r="Q28" s="10" t="str">
        <f>IFERROR(VLOOKUP(Aspects[[#This Row],[Alignement]],Alignement[],2,FALSE),"")</f>
        <v>Bon</v>
      </c>
      <c r="R28" s="10" t="str">
        <f>IFERROR(VLOOKUP(Aspects[[#This Row],[Alignement]],Alignement[],3,FALSE),"")</f>
        <v>Chaotique</v>
      </c>
      <c r="S28" s="8">
        <f>IF(Aspects[[#This Row],[Men min]]&lt;8,0,1)</f>
        <v>1</v>
      </c>
      <c r="T28" s="8">
        <f>IF(OR(AND(Aspects[[#This Row],[Min stats]]&lt;=35,Aspects[[#This Row],[Loyauté]]&lt;&gt;"Loyal"),AND(Aspects[[#This Row],[Min stats]]&lt;=25,Aspects[[#This Row],[Loyauté]]="Loyal")),1,0)</f>
        <v>1</v>
      </c>
      <c r="U28" s="8">
        <f>IF(Aspects[[#This Row],[Max stats]]&gt;=43,1,0)</f>
        <v>1</v>
      </c>
      <c r="V28" s="8">
        <f>IF(OR(AND(Aspects[[#This Row],[Range stats]]&gt;=15,Aspects[[#This Row],[Range stats]]&lt;=27,Aspects[[#This Row],[Loyauté]]&lt;&gt;"Loyal"),AND(Aspects[[#This Row],[Range stats]]&gt;=27,Aspects[[#This Row],[Range stats]]&lt;=40,Aspects[[#This Row],[Loyauté]]="Loyal")),1,0)</f>
        <v>1</v>
      </c>
      <c r="W28" s="9"/>
    </row>
    <row r="29" spans="1:23" x14ac:dyDescent="0.25">
      <c r="A29" t="s">
        <v>44</v>
      </c>
      <c r="B29" s="16" t="str">
        <f>Aspects[[#This Row],[Phy min]] &amp; " - " &amp; Aspects[[#This Row],[Phy max]]</f>
        <v>8 - 18</v>
      </c>
      <c r="C29" s="13">
        <v>8</v>
      </c>
      <c r="D29" s="13">
        <v>18</v>
      </c>
      <c r="E29" s="16" t="str">
        <f>Aspects[[#This Row],[Men min]] &amp; " - " &amp; Aspects[[#This Row],[Men max]]</f>
        <v>12 - 20</v>
      </c>
      <c r="F29" s="13">
        <v>12</v>
      </c>
      <c r="G29" s="13">
        <v>20</v>
      </c>
      <c r="H29" s="16" t="str">
        <f>Aspects[[#This Row],[Cha min]] &amp; " - " &amp; Aspects[[#This Row],[Cha max]]</f>
        <v>5 - 12</v>
      </c>
      <c r="I29" s="13">
        <v>5</v>
      </c>
      <c r="J29" s="13">
        <v>12</v>
      </c>
      <c r="K29" s="14">
        <f>Aspects[[#This Row],[Phy min]]+Aspects[[#This Row],[Men min]]+Aspects[[#This Row],[Cha min]]</f>
        <v>25</v>
      </c>
      <c r="L29" s="14">
        <f>Aspects[[#This Row],[Phy max]]+Aspects[[#This Row],[Men max]]+Aspects[[#This Row],[Cha max]]</f>
        <v>50</v>
      </c>
      <c r="M29" s="14">
        <f>MAX(Aspects[[#This Row],[Max stats]]-Aspects[[#This Row],[Min stats]],0)</f>
        <v>25</v>
      </c>
      <c r="N29" s="12">
        <f>ROUNDUP(AVERAGE(Aspects[[#This Row],[Phy min]:[Phy max]])*WPHYSIC+AVERAGE(Aspects[[#This Row],[Men min]:[Men max]])*WMENTAL+AVERAGE(Aspects[[#This Row],[Cha min]:[Cha max]])*WCHARAC,0)</f>
        <v>8</v>
      </c>
      <c r="O29" s="2" t="s">
        <v>40</v>
      </c>
      <c r="P29" s="1" t="s">
        <v>6</v>
      </c>
      <c r="Q29" s="10" t="str">
        <f>IFERROR(VLOOKUP(Aspects[[#This Row],[Alignement]],Alignement[],2,FALSE),"")</f>
        <v>Bon</v>
      </c>
      <c r="R29" s="10" t="str">
        <f>IFERROR(VLOOKUP(Aspects[[#This Row],[Alignement]],Alignement[],3,FALSE),"")</f>
        <v>Chaotique</v>
      </c>
      <c r="S29" s="8">
        <f>IF(Aspects[[#This Row],[Men min]]&lt;8,0,1)</f>
        <v>1</v>
      </c>
      <c r="T29" s="8">
        <f>IF(OR(AND(Aspects[[#This Row],[Min stats]]&lt;=35,Aspects[[#This Row],[Loyauté]]&lt;&gt;"Loyal"),AND(Aspects[[#This Row],[Min stats]]&lt;=25,Aspects[[#This Row],[Loyauté]]="Loyal")),1,0)</f>
        <v>1</v>
      </c>
      <c r="U29" s="8">
        <f>IF(Aspects[[#This Row],[Max stats]]&gt;=43,1,0)</f>
        <v>1</v>
      </c>
      <c r="V29" s="8">
        <f>IF(OR(AND(Aspects[[#This Row],[Range stats]]&gt;=15,Aspects[[#This Row],[Range stats]]&lt;=27,Aspects[[#This Row],[Loyauté]]&lt;&gt;"Loyal"),AND(Aspects[[#This Row],[Range stats]]&gt;=27,Aspects[[#This Row],[Range stats]]&lt;=40,Aspects[[#This Row],[Loyauté]]="Loyal")),1,0)</f>
        <v>1</v>
      </c>
      <c r="W29" s="9"/>
    </row>
    <row r="30" spans="1:23" x14ac:dyDescent="0.25">
      <c r="A30" s="1" t="s">
        <v>48</v>
      </c>
      <c r="B30" s="16" t="str">
        <f>Aspects[[#This Row],[Phy min]] &amp; " - " &amp; Aspects[[#This Row],[Phy max]]</f>
        <v>17 - 28</v>
      </c>
      <c r="C30" s="13">
        <v>17</v>
      </c>
      <c r="D30" s="13">
        <v>28</v>
      </c>
      <c r="E30" s="16" t="str">
        <f>Aspects[[#This Row],[Men min]] &amp; " - " &amp; Aspects[[#This Row],[Men max]]</f>
        <v>8 - 15</v>
      </c>
      <c r="F30" s="13">
        <v>8</v>
      </c>
      <c r="G30" s="13">
        <v>15</v>
      </c>
      <c r="H30" s="16" t="str">
        <f>Aspects[[#This Row],[Cha min]] &amp; " - " &amp; Aspects[[#This Row],[Cha max]]</f>
        <v>10 - 18</v>
      </c>
      <c r="I30" s="13">
        <v>10</v>
      </c>
      <c r="J30" s="13">
        <v>18</v>
      </c>
      <c r="K30" s="14">
        <f>Aspects[[#This Row],[Phy min]]+Aspects[[#This Row],[Men min]]+Aspects[[#This Row],[Cha min]]</f>
        <v>35</v>
      </c>
      <c r="L30" s="14">
        <f>Aspects[[#This Row],[Phy max]]+Aspects[[#This Row],[Men max]]+Aspects[[#This Row],[Cha max]]</f>
        <v>61</v>
      </c>
      <c r="M30" s="14">
        <f>MAX(Aspects[[#This Row],[Max stats]]-Aspects[[#This Row],[Min stats]],0)</f>
        <v>26</v>
      </c>
      <c r="N30" s="12">
        <f>ROUNDUP(AVERAGE(Aspects[[#This Row],[Phy min]:[Phy max]])*WPHYSIC+AVERAGE(Aspects[[#This Row],[Men min]:[Men max]])*WMENTAL+AVERAGE(Aspects[[#This Row],[Cha min]:[Cha max]])*WCHARAC,0)</f>
        <v>10</v>
      </c>
      <c r="O30" s="2" t="s">
        <v>37</v>
      </c>
      <c r="P30" s="1" t="s">
        <v>8</v>
      </c>
      <c r="Q30" s="10" t="str">
        <f>IFERROR(VLOOKUP(Aspects[[#This Row],[Alignement]],Alignement[],2,FALSE),"")</f>
        <v>Mauvais</v>
      </c>
      <c r="R30" s="10" t="str">
        <f>IFERROR(VLOOKUP(Aspects[[#This Row],[Alignement]],Alignement[],3,FALSE),"")</f>
        <v>Chaotique</v>
      </c>
      <c r="S30" s="8">
        <f>IF(Aspects[[#This Row],[Men min]]&lt;8,0,1)</f>
        <v>1</v>
      </c>
      <c r="T30" s="8">
        <f>IF(OR(AND(Aspects[[#This Row],[Min stats]]&lt;=35,Aspects[[#This Row],[Loyauté]]&lt;&gt;"Loyal"),AND(Aspects[[#This Row],[Min stats]]&lt;=25,Aspects[[#This Row],[Loyauté]]="Loyal")),1,0)</f>
        <v>1</v>
      </c>
      <c r="U30" s="8">
        <f>IF(Aspects[[#This Row],[Max stats]]&gt;=43,1,0)</f>
        <v>1</v>
      </c>
      <c r="V30" s="8">
        <f>IF(OR(AND(Aspects[[#This Row],[Range stats]]&gt;=15,Aspects[[#This Row],[Range stats]]&lt;=27,Aspects[[#This Row],[Loyauté]]&lt;&gt;"Loyal"),AND(Aspects[[#This Row],[Range stats]]&gt;=27,Aspects[[#This Row],[Range stats]]&lt;=40,Aspects[[#This Row],[Loyauté]]="Loyal")),1,0)</f>
        <v>1</v>
      </c>
      <c r="W30" s="9"/>
    </row>
    <row r="31" spans="1:23" x14ac:dyDescent="0.25">
      <c r="A31" s="1" t="s">
        <v>20</v>
      </c>
      <c r="B31" s="16" t="str">
        <f>Aspects[[#This Row],[Phy min]] &amp; " - " &amp; Aspects[[#This Row],[Phy max]]</f>
        <v>18 - 22</v>
      </c>
      <c r="C31" s="13">
        <v>18</v>
      </c>
      <c r="D31" s="13">
        <v>22</v>
      </c>
      <c r="E31" s="16" t="str">
        <f>Aspects[[#This Row],[Men min]] &amp; " - " &amp; Aspects[[#This Row],[Men max]]</f>
        <v>3 - 13</v>
      </c>
      <c r="F31" s="13">
        <v>3</v>
      </c>
      <c r="G31" s="13">
        <v>13</v>
      </c>
      <c r="H31" s="16" t="str">
        <f>Aspects[[#This Row],[Cha min]] &amp; " - " &amp; Aspects[[#This Row],[Cha max]]</f>
        <v>10 - 20</v>
      </c>
      <c r="I31" s="13">
        <v>10</v>
      </c>
      <c r="J31" s="13">
        <v>20</v>
      </c>
      <c r="K31" s="14">
        <f>Aspects[[#This Row],[Phy min]]+Aspects[[#This Row],[Men min]]+Aspects[[#This Row],[Cha min]]</f>
        <v>31</v>
      </c>
      <c r="L31" s="14">
        <f>Aspects[[#This Row],[Phy max]]+Aspects[[#This Row],[Men max]]+Aspects[[#This Row],[Cha max]]</f>
        <v>55</v>
      </c>
      <c r="M31" s="14">
        <f>MAX(Aspects[[#This Row],[Max stats]]-Aspects[[#This Row],[Min stats]],0)</f>
        <v>24</v>
      </c>
      <c r="N31" s="12">
        <f>ROUNDUP(AVERAGE(Aspects[[#This Row],[Phy min]:[Phy max]])*WPHYSIC+AVERAGE(Aspects[[#This Row],[Men min]:[Men max]])*WMENTAL+AVERAGE(Aspects[[#This Row],[Cha min]:[Cha max]])*WCHARAC,0)</f>
        <v>10</v>
      </c>
      <c r="O31" s="2" t="s">
        <v>37</v>
      </c>
      <c r="P31" s="1" t="s">
        <v>8</v>
      </c>
      <c r="Q31" s="10" t="str">
        <f>IFERROR(VLOOKUP(Aspects[[#This Row],[Alignement]],Alignement[],2,FALSE),"")</f>
        <v>Mauvais</v>
      </c>
      <c r="R31" s="10" t="str">
        <f>IFERROR(VLOOKUP(Aspects[[#This Row],[Alignement]],Alignement[],3,FALSE),"")</f>
        <v>Chaotique</v>
      </c>
      <c r="S31" s="8">
        <f>IF(Aspects[[#This Row],[Men min]]&lt;8,0,1)</f>
        <v>0</v>
      </c>
      <c r="T31" s="8">
        <f>IF(OR(AND(Aspects[[#This Row],[Min stats]]&lt;=35,Aspects[[#This Row],[Loyauté]]&lt;&gt;"Loyal"),AND(Aspects[[#This Row],[Min stats]]&lt;=25,Aspects[[#This Row],[Loyauté]]="Loyal")),1,0)</f>
        <v>1</v>
      </c>
      <c r="U31" s="8">
        <f>IF(Aspects[[#This Row],[Max stats]]&gt;=43,1,0)</f>
        <v>1</v>
      </c>
      <c r="V31" s="8">
        <f>IF(OR(AND(Aspects[[#This Row],[Range stats]]&gt;=15,Aspects[[#This Row],[Range stats]]&lt;=27,Aspects[[#This Row],[Loyauté]]&lt;&gt;"Loyal"),AND(Aspects[[#This Row],[Range stats]]&gt;=27,Aspects[[#This Row],[Range stats]]&lt;=40,Aspects[[#This Row],[Loyauté]]="Loyal")),1,0)</f>
        <v>1</v>
      </c>
      <c r="W31" s="9"/>
    </row>
    <row r="32" spans="1:23" x14ac:dyDescent="0.25">
      <c r="A32" s="1" t="s">
        <v>56</v>
      </c>
      <c r="B32" s="16" t="str">
        <f>Aspects[[#This Row],[Phy min]] &amp; " - " &amp; Aspects[[#This Row],[Phy max]]</f>
        <v>12 - 25</v>
      </c>
      <c r="C32" s="13">
        <v>12</v>
      </c>
      <c r="D32" s="13">
        <v>25</v>
      </c>
      <c r="E32" s="16" t="str">
        <f>Aspects[[#This Row],[Men min]] &amp; " - " &amp; Aspects[[#This Row],[Men max]]</f>
        <v>8 - 20</v>
      </c>
      <c r="F32" s="13">
        <v>8</v>
      </c>
      <c r="G32" s="13">
        <v>20</v>
      </c>
      <c r="H32" s="16" t="str">
        <f>Aspects[[#This Row],[Cha min]] &amp; " - " &amp; Aspects[[#This Row],[Cha max]]</f>
        <v>5 - 18</v>
      </c>
      <c r="I32" s="13">
        <v>5</v>
      </c>
      <c r="J32" s="13">
        <v>18</v>
      </c>
      <c r="K32" s="14">
        <f>Aspects[[#This Row],[Phy min]]+Aspects[[#This Row],[Men min]]+Aspects[[#This Row],[Cha min]]</f>
        <v>25</v>
      </c>
      <c r="L32" s="14">
        <f>Aspects[[#This Row],[Phy max]]+Aspects[[#This Row],[Men max]]+Aspects[[#This Row],[Cha max]]</f>
        <v>63</v>
      </c>
      <c r="M32" s="14">
        <f>MAX(Aspects[[#This Row],[Max stats]]-Aspects[[#This Row],[Min stats]],0)</f>
        <v>38</v>
      </c>
      <c r="N32" s="12">
        <f>ROUNDUP(AVERAGE(Aspects[[#This Row],[Phy min]:[Phy max]])*WPHYSIC+AVERAGE(Aspects[[#This Row],[Men min]:[Men max]])*WMENTAL+AVERAGE(Aspects[[#This Row],[Cha min]:[Cha max]])*WCHARAC,0)</f>
        <v>10</v>
      </c>
      <c r="O32" s="2" t="s">
        <v>39</v>
      </c>
      <c r="P32" s="1" t="s">
        <v>11</v>
      </c>
      <c r="Q32" s="10" t="str">
        <f>IFERROR(VLOOKUP(Aspects[[#This Row],[Alignement]],Alignement[],2,FALSE),"")</f>
        <v>Mauvais</v>
      </c>
      <c r="R32" s="10" t="str">
        <f>IFERROR(VLOOKUP(Aspects[[#This Row],[Alignement]],Alignement[],3,FALSE),"")</f>
        <v>Loyal</v>
      </c>
      <c r="S32" s="8">
        <f>IF(Aspects[[#This Row],[Men min]]&lt;8,0,1)</f>
        <v>1</v>
      </c>
      <c r="T32" s="8">
        <f>IF(OR(AND(Aspects[[#This Row],[Min stats]]&lt;=35,Aspects[[#This Row],[Loyauté]]&lt;&gt;"Loyal"),AND(Aspects[[#This Row],[Min stats]]&lt;=25,Aspects[[#This Row],[Loyauté]]="Loyal")),1,0)</f>
        <v>1</v>
      </c>
      <c r="U32" s="8">
        <f>IF(Aspects[[#This Row],[Max stats]]&gt;=43,1,0)</f>
        <v>1</v>
      </c>
      <c r="V32" s="8">
        <f>IF(OR(AND(Aspects[[#This Row],[Range stats]]&gt;=15,Aspects[[#This Row],[Range stats]]&lt;=27,Aspects[[#This Row],[Loyauté]]&lt;&gt;"Loyal"),AND(Aspects[[#This Row],[Range stats]]&gt;=27,Aspects[[#This Row],[Range stats]]&lt;=40,Aspects[[#This Row],[Loyauté]]="Loyal")),1,0)</f>
        <v>1</v>
      </c>
      <c r="W32" s="9"/>
    </row>
    <row r="33" spans="1:23" x14ac:dyDescent="0.25">
      <c r="A33" s="1" t="s">
        <v>55</v>
      </c>
      <c r="B33" s="16" t="str">
        <f>Aspects[[#This Row],[Phy min]] &amp; " - " &amp; Aspects[[#This Row],[Phy max]]</f>
        <v>18 - 25</v>
      </c>
      <c r="C33" s="13">
        <v>18</v>
      </c>
      <c r="D33" s="13">
        <v>25</v>
      </c>
      <c r="E33" s="16" t="str">
        <f>Aspects[[#This Row],[Men min]] &amp; " - " &amp; Aspects[[#This Row],[Men max]]</f>
        <v>12 - 20</v>
      </c>
      <c r="F33" s="13">
        <v>12</v>
      </c>
      <c r="G33" s="13">
        <v>20</v>
      </c>
      <c r="H33" s="16" t="str">
        <f>Aspects[[#This Row],[Cha min]] &amp; " - " &amp; Aspects[[#This Row],[Cha max]]</f>
        <v>0 - 8</v>
      </c>
      <c r="I33" s="13">
        <v>0</v>
      </c>
      <c r="J33" s="13">
        <v>8</v>
      </c>
      <c r="K33" s="14">
        <f>Aspects[[#This Row],[Phy min]]+Aspects[[#This Row],[Men min]]+Aspects[[#This Row],[Cha min]]</f>
        <v>30</v>
      </c>
      <c r="L33" s="14">
        <f>Aspects[[#This Row],[Phy max]]+Aspects[[#This Row],[Men max]]+Aspects[[#This Row],[Cha max]]</f>
        <v>53</v>
      </c>
      <c r="M33" s="14">
        <f>MAX(Aspects[[#This Row],[Max stats]]-Aspects[[#This Row],[Min stats]],0)</f>
        <v>23</v>
      </c>
      <c r="N33" s="12">
        <f>ROUNDUP(AVERAGE(Aspects[[#This Row],[Phy min]:[Phy max]])*WPHYSIC+AVERAGE(Aspects[[#This Row],[Men min]:[Men max]])*WMENTAL+AVERAGE(Aspects[[#This Row],[Cha min]:[Cha max]])*WCHARAC,0)</f>
        <v>8</v>
      </c>
      <c r="O33" s="2" t="s">
        <v>37</v>
      </c>
      <c r="P33" s="1" t="s">
        <v>5</v>
      </c>
      <c r="Q33" s="10" t="str">
        <f>IFERROR(VLOOKUP(Aspects[[#This Row],[Alignement]],Alignement[],2,FALSE),"")</f>
        <v>Neutre</v>
      </c>
      <c r="R33" s="10" t="str">
        <f>IFERROR(VLOOKUP(Aspects[[#This Row],[Alignement]],Alignement[],3,FALSE),"")</f>
        <v>Neutre</v>
      </c>
      <c r="S33" s="8">
        <f>IF(Aspects[[#This Row],[Men min]]&lt;8,0,1)</f>
        <v>1</v>
      </c>
      <c r="T33" s="8">
        <f>IF(OR(AND(Aspects[[#This Row],[Min stats]]&lt;=35,Aspects[[#This Row],[Loyauté]]&lt;&gt;"Loyal"),AND(Aspects[[#This Row],[Min stats]]&lt;=25,Aspects[[#This Row],[Loyauté]]="Loyal")),1,0)</f>
        <v>1</v>
      </c>
      <c r="U33" s="8">
        <f>IF(Aspects[[#This Row],[Max stats]]&gt;=43,1,0)</f>
        <v>1</v>
      </c>
      <c r="V33" s="8">
        <f>IF(OR(AND(Aspects[[#This Row],[Range stats]]&gt;=15,Aspects[[#This Row],[Range stats]]&lt;=27,Aspects[[#This Row],[Loyauté]]&lt;&gt;"Loyal"),AND(Aspects[[#This Row],[Range stats]]&gt;=27,Aspects[[#This Row],[Range stats]]&lt;=40,Aspects[[#This Row],[Loyauté]]="Loyal")),1,0)</f>
        <v>1</v>
      </c>
      <c r="W33" s="9"/>
    </row>
    <row r="34" spans="1:23" x14ac:dyDescent="0.25">
      <c r="A34" s="1" t="s">
        <v>84</v>
      </c>
      <c r="B34" s="16" t="str">
        <f>Aspects[[#This Row],[Phy min]] &amp; " - " &amp; Aspects[[#This Row],[Phy max]]</f>
        <v>8 - 18</v>
      </c>
      <c r="C34" s="13">
        <v>8</v>
      </c>
      <c r="D34" s="13">
        <v>18</v>
      </c>
      <c r="E34" s="16" t="str">
        <f>Aspects[[#This Row],[Men min]] &amp; " - " &amp; Aspects[[#This Row],[Men max]]</f>
        <v>8 - 18</v>
      </c>
      <c r="F34" s="13">
        <v>8</v>
      </c>
      <c r="G34" s="13">
        <v>18</v>
      </c>
      <c r="H34" s="16" t="str">
        <f>Aspects[[#This Row],[Cha min]] &amp; " - " &amp; Aspects[[#This Row],[Cha max]]</f>
        <v>5 - 12</v>
      </c>
      <c r="I34" s="13">
        <v>5</v>
      </c>
      <c r="J34" s="13">
        <v>12</v>
      </c>
      <c r="K34" s="14">
        <f>Aspects[[#This Row],[Phy min]]+Aspects[[#This Row],[Men min]]+Aspects[[#This Row],[Cha min]]</f>
        <v>21</v>
      </c>
      <c r="L34" s="14">
        <f>Aspects[[#This Row],[Phy max]]+Aspects[[#This Row],[Men max]]+Aspects[[#This Row],[Cha max]]</f>
        <v>48</v>
      </c>
      <c r="M34" s="14">
        <f>MAX(Aspects[[#This Row],[Max stats]]-Aspects[[#This Row],[Min stats]],0)</f>
        <v>27</v>
      </c>
      <c r="N34" s="12">
        <f>ROUNDUP(AVERAGE(Aspects[[#This Row],[Phy min]:[Phy max]])*WPHYSIC+AVERAGE(Aspects[[#This Row],[Men min]:[Men max]])*WMENTAL+AVERAGE(Aspects[[#This Row],[Cha min]:[Cha max]])*WCHARAC,0)</f>
        <v>8</v>
      </c>
      <c r="O34" s="2" t="s">
        <v>41</v>
      </c>
      <c r="P34" s="1" t="s">
        <v>5</v>
      </c>
      <c r="Q34" s="10" t="str">
        <f>IFERROR(VLOOKUP(Aspects[[#This Row],[Alignement]],Alignement[],2,FALSE),"")</f>
        <v>Neutre</v>
      </c>
      <c r="R34" s="10" t="str">
        <f>IFERROR(VLOOKUP(Aspects[[#This Row],[Alignement]],Alignement[],3,FALSE),"")</f>
        <v>Neutre</v>
      </c>
      <c r="S34" s="8">
        <v>0</v>
      </c>
      <c r="T34" s="8">
        <f>IF(OR(AND(Aspects[[#This Row],[Min stats]]&lt;=35,Aspects[[#This Row],[Loyauté]]&lt;&gt;"Loyal"),AND(Aspects[[#This Row],[Min stats]]&lt;=25,Aspects[[#This Row],[Loyauté]]="Loyal")),1,0)</f>
        <v>1</v>
      </c>
      <c r="U34" s="8">
        <f>IF(Aspects[[#This Row],[Max stats]]&gt;=43,1,0)</f>
        <v>1</v>
      </c>
      <c r="V34" s="8">
        <f>IF(OR(AND(Aspects[[#This Row],[Range stats]]&gt;=15,Aspects[[#This Row],[Range stats]]&lt;=27,Aspects[[#This Row],[Loyauté]]&lt;&gt;"Loyal"),AND(Aspects[[#This Row],[Range stats]]&gt;=27,Aspects[[#This Row],[Range stats]]&lt;=40,Aspects[[#This Row],[Loyauté]]="Loyal")),1,0)</f>
        <v>1</v>
      </c>
      <c r="W34" s="9" t="s">
        <v>76</v>
      </c>
    </row>
    <row r="35" spans="1:23" x14ac:dyDescent="0.25">
      <c r="A35" s="1" t="s">
        <v>60</v>
      </c>
      <c r="B35" s="16" t="str">
        <f>Aspects[[#This Row],[Phy min]] &amp; " - " &amp; Aspects[[#This Row],[Phy max]]</f>
        <v>0 - 13</v>
      </c>
      <c r="C35" s="13">
        <v>0</v>
      </c>
      <c r="D35" s="13">
        <v>13</v>
      </c>
      <c r="E35" s="16" t="str">
        <f>Aspects[[#This Row],[Men min]] &amp; " - " &amp; Aspects[[#This Row],[Men max]]</f>
        <v>8 - 15</v>
      </c>
      <c r="F35" s="13">
        <v>8</v>
      </c>
      <c r="G35" s="13">
        <v>15</v>
      </c>
      <c r="H35" s="16" t="str">
        <f>Aspects[[#This Row],[Cha min]] &amp; " - " &amp; Aspects[[#This Row],[Cha max]]</f>
        <v>15 - 20</v>
      </c>
      <c r="I35" s="13">
        <v>15</v>
      </c>
      <c r="J35" s="13">
        <v>20</v>
      </c>
      <c r="K35" s="14">
        <f>Aspects[[#This Row],[Phy min]]+Aspects[[#This Row],[Men min]]+Aspects[[#This Row],[Cha min]]</f>
        <v>23</v>
      </c>
      <c r="L35" s="14">
        <f>Aspects[[#This Row],[Phy max]]+Aspects[[#This Row],[Men max]]+Aspects[[#This Row],[Cha max]]</f>
        <v>48</v>
      </c>
      <c r="M35" s="14">
        <f>MAX(Aspects[[#This Row],[Max stats]]-Aspects[[#This Row],[Min stats]],0)</f>
        <v>25</v>
      </c>
      <c r="N35" s="12">
        <f>ROUNDUP(AVERAGE(Aspects[[#This Row],[Phy min]:[Phy max]])*WPHYSIC+AVERAGE(Aspects[[#This Row],[Men min]:[Men max]])*WMENTAL+AVERAGE(Aspects[[#This Row],[Cha min]:[Cha max]])*WCHARAC,0)</f>
        <v>9</v>
      </c>
      <c r="O35" s="2" t="s">
        <v>43</v>
      </c>
      <c r="P35" s="1" t="s">
        <v>5</v>
      </c>
      <c r="Q35" s="10" t="str">
        <f>IFERROR(VLOOKUP(Aspects[[#This Row],[Alignement]],Alignement[],2,FALSE),"")</f>
        <v>Neutre</v>
      </c>
      <c r="R35" s="10" t="str">
        <f>IFERROR(VLOOKUP(Aspects[[#This Row],[Alignement]],Alignement[],3,FALSE),"")</f>
        <v>Neutre</v>
      </c>
      <c r="S35" s="8">
        <f>IF(Aspects[[#This Row],[Men min]]&lt;8,0,1)</f>
        <v>1</v>
      </c>
      <c r="T35" s="8">
        <f>IF(OR(AND(Aspects[[#This Row],[Min stats]]&lt;=35,Aspects[[#This Row],[Loyauté]]&lt;&gt;"Loyal"),AND(Aspects[[#This Row],[Min stats]]&lt;=25,Aspects[[#This Row],[Loyauté]]="Loyal")),1,0)</f>
        <v>1</v>
      </c>
      <c r="U35" s="8">
        <f>IF(Aspects[[#This Row],[Max stats]]&gt;=43,1,0)</f>
        <v>1</v>
      </c>
      <c r="V35" s="8">
        <f>IF(OR(AND(Aspects[[#This Row],[Range stats]]&gt;=15,Aspects[[#This Row],[Range stats]]&lt;=27,Aspects[[#This Row],[Loyauté]]&lt;&gt;"Loyal"),AND(Aspects[[#This Row],[Range stats]]&gt;=27,Aspects[[#This Row],[Range stats]]&lt;=40,Aspects[[#This Row],[Loyauté]]="Loyal")),1,0)</f>
        <v>1</v>
      </c>
      <c r="W35" s="9"/>
    </row>
    <row r="36" spans="1:23" x14ac:dyDescent="0.25">
      <c r="A36" s="1" t="s">
        <v>61</v>
      </c>
      <c r="B36" s="16" t="str">
        <f>Aspects[[#This Row],[Phy min]] &amp; " - " &amp; Aspects[[#This Row],[Phy max]]</f>
        <v>12 - 28</v>
      </c>
      <c r="C36" s="13">
        <v>12</v>
      </c>
      <c r="D36" s="13">
        <v>28</v>
      </c>
      <c r="E36" s="16" t="str">
        <f>Aspects[[#This Row],[Men min]] &amp; " - " &amp; Aspects[[#This Row],[Men max]]</f>
        <v>0 - 12</v>
      </c>
      <c r="F36" s="13">
        <v>0</v>
      </c>
      <c r="G36" s="13">
        <v>12</v>
      </c>
      <c r="H36" s="16" t="str">
        <f>Aspects[[#This Row],[Cha min]] &amp; " - " &amp; Aspects[[#This Row],[Cha max]]</f>
        <v>10 - 20</v>
      </c>
      <c r="I36" s="13">
        <v>10</v>
      </c>
      <c r="J36" s="13">
        <v>20</v>
      </c>
      <c r="K36" s="14">
        <f>Aspects[[#This Row],[Phy min]]+Aspects[[#This Row],[Men min]]+Aspects[[#This Row],[Cha min]]</f>
        <v>22</v>
      </c>
      <c r="L36" s="14">
        <f>Aspects[[#This Row],[Phy max]]+Aspects[[#This Row],[Men max]]+Aspects[[#This Row],[Cha max]]</f>
        <v>60</v>
      </c>
      <c r="M36" s="14">
        <f>MAX(Aspects[[#This Row],[Max stats]]-Aspects[[#This Row],[Min stats]],0)</f>
        <v>38</v>
      </c>
      <c r="N36" s="12">
        <f>ROUNDUP(AVERAGE(Aspects[[#This Row],[Phy min]:[Phy max]])*WPHYSIC+AVERAGE(Aspects[[#This Row],[Men min]:[Men max]])*WMENTAL+AVERAGE(Aspects[[#This Row],[Cha min]:[Cha max]])*WCHARAC,0)</f>
        <v>9</v>
      </c>
      <c r="O36" s="2" t="s">
        <v>37</v>
      </c>
      <c r="P36" s="1" t="s">
        <v>11</v>
      </c>
      <c r="Q36" s="10" t="str">
        <f>IFERROR(VLOOKUP(Aspects[[#This Row],[Alignement]],Alignement[],2,FALSE),"")</f>
        <v>Mauvais</v>
      </c>
      <c r="R36" s="10" t="str">
        <f>IFERROR(VLOOKUP(Aspects[[#This Row],[Alignement]],Alignement[],3,FALSE),"")</f>
        <v>Loyal</v>
      </c>
      <c r="S36" s="8">
        <f>IF(Aspects[[#This Row],[Men min]]&lt;8,0,1)</f>
        <v>0</v>
      </c>
      <c r="T36" s="8">
        <f>IF(OR(AND(Aspects[[#This Row],[Min stats]]&lt;=35,Aspects[[#This Row],[Loyauté]]&lt;&gt;"Loyal"),AND(Aspects[[#This Row],[Min stats]]&lt;=25,Aspects[[#This Row],[Loyauté]]="Loyal")),1,0)</f>
        <v>1</v>
      </c>
      <c r="U36" s="8">
        <f>IF(Aspects[[#This Row],[Max stats]]&gt;=43,1,0)</f>
        <v>1</v>
      </c>
      <c r="V36" s="8">
        <f>IF(OR(AND(Aspects[[#This Row],[Range stats]]&gt;=15,Aspects[[#This Row],[Range stats]]&lt;=27,Aspects[[#This Row],[Loyauté]]&lt;&gt;"Loyal"),AND(Aspects[[#This Row],[Range stats]]&gt;=27,Aspects[[#This Row],[Range stats]]&lt;=40,Aspects[[#This Row],[Loyauté]]="Loyal")),1,0)</f>
        <v>1</v>
      </c>
      <c r="W36" s="9"/>
    </row>
    <row r="37" spans="1:23" x14ac:dyDescent="0.25">
      <c r="A37" t="s">
        <v>45</v>
      </c>
      <c r="B37" s="16" t="str">
        <f>Aspects[[#This Row],[Phy min]] &amp; " - " &amp; Aspects[[#This Row],[Phy max]]</f>
        <v>8 - 18</v>
      </c>
      <c r="C37" s="13">
        <v>8</v>
      </c>
      <c r="D37" s="13">
        <v>18</v>
      </c>
      <c r="E37" s="16" t="str">
        <f>Aspects[[#This Row],[Men min]] &amp; " - " &amp; Aspects[[#This Row],[Men max]]</f>
        <v>10 - 18</v>
      </c>
      <c r="F37" s="13">
        <v>10</v>
      </c>
      <c r="G37" s="13">
        <v>18</v>
      </c>
      <c r="H37" s="16" t="str">
        <f>Aspects[[#This Row],[Cha min]] &amp; " - " &amp; Aspects[[#This Row],[Cha max]]</f>
        <v>12 - 20</v>
      </c>
      <c r="I37" s="13">
        <v>12</v>
      </c>
      <c r="J37" s="13">
        <v>20</v>
      </c>
      <c r="K37" s="14">
        <f>Aspects[[#This Row],[Phy min]]+Aspects[[#This Row],[Men min]]+Aspects[[#This Row],[Cha min]]</f>
        <v>30</v>
      </c>
      <c r="L37" s="14">
        <f>Aspects[[#This Row],[Phy max]]+Aspects[[#This Row],[Men max]]+Aspects[[#This Row],[Cha max]]</f>
        <v>56</v>
      </c>
      <c r="M37" s="14">
        <f>MAX(Aspects[[#This Row],[Max stats]]-Aspects[[#This Row],[Min stats]],0)</f>
        <v>26</v>
      </c>
      <c r="N37" s="12">
        <f>ROUNDUP(AVERAGE(Aspects[[#This Row],[Phy min]:[Phy max]])*WPHYSIC+AVERAGE(Aspects[[#This Row],[Men min]:[Men max]])*WMENTAL+AVERAGE(Aspects[[#This Row],[Cha min]:[Cha max]])*WCHARAC,0)</f>
        <v>10</v>
      </c>
      <c r="O37" s="2" t="s">
        <v>42</v>
      </c>
      <c r="P37" s="1" t="s">
        <v>4</v>
      </c>
      <c r="Q37" s="10" t="str">
        <f>IFERROR(VLOOKUP(Aspects[[#This Row],[Alignement]],Alignement[],2,FALSE),"")</f>
        <v>Neutre</v>
      </c>
      <c r="R37" s="10" t="str">
        <f>IFERROR(VLOOKUP(Aspects[[#This Row],[Alignement]],Alignement[],3,FALSE),"")</f>
        <v>Chaotique</v>
      </c>
      <c r="S37" s="8">
        <f>IF(Aspects[[#This Row],[Men min]]&lt;8,0,1)</f>
        <v>1</v>
      </c>
      <c r="T37" s="8">
        <f>IF(OR(AND(Aspects[[#This Row],[Min stats]]&lt;=35,Aspects[[#This Row],[Loyauté]]&lt;&gt;"Loyal"),AND(Aspects[[#This Row],[Min stats]]&lt;=25,Aspects[[#This Row],[Loyauté]]="Loyal")),1,0)</f>
        <v>1</v>
      </c>
      <c r="U37" s="8">
        <f>IF(Aspects[[#This Row],[Max stats]]&gt;=43,1,0)</f>
        <v>1</v>
      </c>
      <c r="V37" s="8">
        <f>IF(OR(AND(Aspects[[#This Row],[Range stats]]&gt;=15,Aspects[[#This Row],[Range stats]]&lt;=27,Aspects[[#This Row],[Loyauté]]&lt;&gt;"Loyal"),AND(Aspects[[#This Row],[Range stats]]&gt;=27,Aspects[[#This Row],[Range stats]]&lt;=40,Aspects[[#This Row],[Loyauté]]="Loyal")),1,0)</f>
        <v>1</v>
      </c>
      <c r="W37" s="9"/>
    </row>
  </sheetData>
  <phoneticPr fontId="2" type="noConversion"/>
  <conditionalFormatting sqref="S2:S37">
    <cfRule type="iconSet" priority="1">
      <iconSet iconSet="5Quarters" showValue="0">
        <cfvo type="percent" val="0"/>
        <cfvo type="num" val="1"/>
        <cfvo type="num" val="1"/>
        <cfvo type="num" val="1"/>
        <cfvo type="num" val="1"/>
      </iconSet>
    </cfRule>
  </conditionalFormatting>
  <conditionalFormatting sqref="T2:V37">
    <cfRule type="iconSet" priority="2">
      <iconSet showValue="0">
        <cfvo type="percent" val="0"/>
        <cfvo type="num" val="1"/>
        <cfvo type="num" val="1"/>
      </iconSet>
    </cfRule>
  </conditionalFormatting>
  <dataValidations count="1">
    <dataValidation type="list" allowBlank="1" showInputMessage="1" showErrorMessage="1" sqref="O2:O37" xr:uid="{A9E7DB20-FB37-4EA8-AAF6-122D29DBF46D}">
      <formula1>"Force,Dextérité,Résilience,Intelligence,Curiosité,Éloquence,Psyché"</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8B0C54A-5B8D-4118-8C8F-ED0130624CA2}">
          <x14:formula1>
            <xm:f>Feuil2!$A$2:$A$10</xm:f>
          </x14:formula1>
          <xm:sqref>P2:P37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9B602-C0FA-4B00-B548-6BC6470D5C4B}">
  <dimension ref="A1:K118"/>
  <sheetViews>
    <sheetView tabSelected="1" topLeftCell="A93" workbookViewId="0">
      <selection activeCell="K114" sqref="K114"/>
    </sheetView>
  </sheetViews>
  <sheetFormatPr baseColWidth="10" defaultRowHeight="15" x14ac:dyDescent="0.25"/>
  <cols>
    <col min="1" max="1" width="23.42578125" bestFit="1" customWidth="1"/>
    <col min="2" max="2" width="7.5703125" bestFit="1" customWidth="1"/>
    <col min="3" max="3" width="9.140625" bestFit="1" customWidth="1"/>
    <col min="4" max="4" width="10.7109375" bestFit="1" customWidth="1"/>
    <col min="5" max="5" width="7.42578125" bestFit="1" customWidth="1"/>
    <col min="6" max="6" width="13.28515625" bestFit="1" customWidth="1"/>
    <col min="7" max="7" width="6.140625" customWidth="1"/>
    <col min="8" max="8" width="10.85546875" bestFit="1" customWidth="1"/>
    <col min="9" max="9" width="11.85546875" bestFit="1" customWidth="1"/>
    <col min="10" max="10" width="16.28515625" bestFit="1" customWidth="1"/>
    <col min="11" max="11" width="255.7109375" bestFit="1" customWidth="1"/>
  </cols>
  <sheetData>
    <row r="1" spans="1:11" x14ac:dyDescent="0.25">
      <c r="A1" t="s">
        <v>85</v>
      </c>
      <c r="B1" t="s">
        <v>88</v>
      </c>
      <c r="C1" t="s">
        <v>86</v>
      </c>
      <c r="D1" t="s">
        <v>87</v>
      </c>
      <c r="E1" t="s">
        <v>116</v>
      </c>
      <c r="F1" t="s">
        <v>115</v>
      </c>
      <c r="G1" t="s">
        <v>122</v>
      </c>
      <c r="H1" t="s">
        <v>212</v>
      </c>
      <c r="I1" t="s">
        <v>149</v>
      </c>
      <c r="J1" t="s">
        <v>74</v>
      </c>
      <c r="K1" t="s">
        <v>161</v>
      </c>
    </row>
    <row r="2" spans="1:11" x14ac:dyDescent="0.25">
      <c r="A2" t="s">
        <v>117</v>
      </c>
      <c r="B2" s="55">
        <v>1</v>
      </c>
      <c r="C2" t="s">
        <v>112</v>
      </c>
      <c r="D2" t="s">
        <v>113</v>
      </c>
      <c r="E2" s="12">
        <v>3</v>
      </c>
      <c r="F2" s="12" t="s">
        <v>114</v>
      </c>
      <c r="G2" s="8">
        <v>0</v>
      </c>
      <c r="H2" s="8" t="s">
        <v>213</v>
      </c>
      <c r="I2" s="8" t="s">
        <v>148</v>
      </c>
      <c r="K2" s="20" t="s">
        <v>89</v>
      </c>
    </row>
    <row r="3" spans="1:11" x14ac:dyDescent="0.25">
      <c r="A3" t="s">
        <v>118</v>
      </c>
      <c r="B3" s="55">
        <v>1</v>
      </c>
      <c r="C3" t="s">
        <v>119</v>
      </c>
      <c r="D3" t="s">
        <v>113</v>
      </c>
      <c r="E3" s="12">
        <v>2</v>
      </c>
      <c r="F3" s="12" t="s">
        <v>114</v>
      </c>
      <c r="G3" s="8">
        <v>0</v>
      </c>
      <c r="H3" s="8" t="s">
        <v>214</v>
      </c>
      <c r="I3" s="8" t="s">
        <v>151</v>
      </c>
      <c r="K3" s="20" t="s">
        <v>90</v>
      </c>
    </row>
    <row r="4" spans="1:11" x14ac:dyDescent="0.25">
      <c r="A4" t="s">
        <v>120</v>
      </c>
      <c r="B4" s="55">
        <v>1</v>
      </c>
      <c r="C4" t="s">
        <v>112</v>
      </c>
      <c r="D4" t="s">
        <v>113</v>
      </c>
      <c r="E4" s="12">
        <v>6</v>
      </c>
      <c r="F4" s="12" t="s">
        <v>114</v>
      </c>
      <c r="G4" s="8">
        <v>0</v>
      </c>
      <c r="H4" s="8" t="s">
        <v>215</v>
      </c>
      <c r="I4" s="8" t="s">
        <v>148</v>
      </c>
      <c r="K4" s="20" t="s">
        <v>91</v>
      </c>
    </row>
    <row r="5" spans="1:11" x14ac:dyDescent="0.25">
      <c r="A5" t="s">
        <v>121</v>
      </c>
      <c r="B5" s="55">
        <v>1</v>
      </c>
      <c r="C5" t="s">
        <v>119</v>
      </c>
      <c r="D5" t="s">
        <v>113</v>
      </c>
      <c r="E5" s="12">
        <v>6</v>
      </c>
      <c r="F5" s="12" t="s">
        <v>114</v>
      </c>
      <c r="G5" s="8">
        <v>1</v>
      </c>
      <c r="H5" s="8" t="s">
        <v>216</v>
      </c>
      <c r="I5" s="8" t="s">
        <v>148</v>
      </c>
      <c r="K5" s="20" t="s">
        <v>92</v>
      </c>
    </row>
    <row r="6" spans="1:11" x14ac:dyDescent="0.25">
      <c r="A6" t="s">
        <v>123</v>
      </c>
      <c r="B6" s="55">
        <v>1</v>
      </c>
      <c r="C6" t="s">
        <v>119</v>
      </c>
      <c r="D6" t="s">
        <v>113</v>
      </c>
      <c r="E6" s="12">
        <v>3</v>
      </c>
      <c r="F6" s="12" t="s">
        <v>124</v>
      </c>
      <c r="G6" s="8">
        <v>0</v>
      </c>
      <c r="H6" s="8" t="s">
        <v>219</v>
      </c>
      <c r="I6" s="8" t="s">
        <v>150</v>
      </c>
      <c r="K6" s="20" t="s">
        <v>93</v>
      </c>
    </row>
    <row r="7" spans="1:11" x14ac:dyDescent="0.25">
      <c r="A7" s="19"/>
      <c r="B7" s="55">
        <v>1</v>
      </c>
      <c r="C7" t="s">
        <v>128</v>
      </c>
      <c r="D7" t="s">
        <v>113</v>
      </c>
      <c r="E7" s="12"/>
      <c r="F7" s="12" t="s">
        <v>129</v>
      </c>
      <c r="G7" s="8">
        <v>0</v>
      </c>
      <c r="H7" s="8"/>
      <c r="I7" s="8" t="s">
        <v>157</v>
      </c>
      <c r="J7" t="s">
        <v>127</v>
      </c>
      <c r="K7" s="20"/>
    </row>
    <row r="8" spans="1:11" x14ac:dyDescent="0.25">
      <c r="A8" t="s">
        <v>125</v>
      </c>
      <c r="B8" s="55">
        <v>1</v>
      </c>
      <c r="C8" t="s">
        <v>128</v>
      </c>
      <c r="D8" t="s">
        <v>130</v>
      </c>
      <c r="E8" s="12">
        <v>3</v>
      </c>
      <c r="F8" s="12" t="s">
        <v>129</v>
      </c>
      <c r="G8" s="8">
        <v>0</v>
      </c>
      <c r="H8" s="8" t="s">
        <v>216</v>
      </c>
      <c r="I8" s="8" t="s">
        <v>152</v>
      </c>
      <c r="K8" s="20" t="s">
        <v>235</v>
      </c>
    </row>
    <row r="9" spans="1:11" x14ac:dyDescent="0.25">
      <c r="A9" t="s">
        <v>126</v>
      </c>
      <c r="B9" s="55">
        <v>1</v>
      </c>
      <c r="C9" t="s">
        <v>112</v>
      </c>
      <c r="D9" t="s">
        <v>130</v>
      </c>
      <c r="E9" s="12">
        <v>3</v>
      </c>
      <c r="F9" s="12" t="s">
        <v>114</v>
      </c>
      <c r="G9" s="8">
        <v>0</v>
      </c>
      <c r="H9" s="8" t="s">
        <v>213</v>
      </c>
      <c r="I9" s="8" t="s">
        <v>148</v>
      </c>
      <c r="K9" s="20" t="s">
        <v>94</v>
      </c>
    </row>
    <row r="10" spans="1:11" x14ac:dyDescent="0.25">
      <c r="A10" s="19"/>
      <c r="B10" s="55">
        <v>1</v>
      </c>
      <c r="C10" t="s">
        <v>119</v>
      </c>
      <c r="D10" t="s">
        <v>130</v>
      </c>
      <c r="E10" s="12"/>
      <c r="F10" s="12" t="s">
        <v>114</v>
      </c>
      <c r="G10" s="8">
        <v>0</v>
      </c>
      <c r="H10" s="8"/>
      <c r="I10" s="8" t="s">
        <v>153</v>
      </c>
      <c r="J10" t="s">
        <v>127</v>
      </c>
      <c r="K10" s="20"/>
    </row>
    <row r="11" spans="1:11" x14ac:dyDescent="0.25">
      <c r="A11" s="19"/>
      <c r="B11" s="55">
        <v>1</v>
      </c>
      <c r="C11" t="s">
        <v>119</v>
      </c>
      <c r="D11" t="s">
        <v>130</v>
      </c>
      <c r="E11" s="12"/>
      <c r="F11" s="12" t="s">
        <v>114</v>
      </c>
      <c r="G11" s="8">
        <v>1</v>
      </c>
      <c r="H11" s="8"/>
      <c r="I11" s="8" t="s">
        <v>150</v>
      </c>
      <c r="J11" t="s">
        <v>127</v>
      </c>
      <c r="K11" s="20"/>
    </row>
    <row r="12" spans="1:11" x14ac:dyDescent="0.25">
      <c r="A12" s="19"/>
      <c r="B12" s="55">
        <v>1</v>
      </c>
      <c r="C12" t="s">
        <v>128</v>
      </c>
      <c r="D12" t="s">
        <v>130</v>
      </c>
      <c r="E12" s="12"/>
      <c r="F12" s="12" t="s">
        <v>114</v>
      </c>
      <c r="G12" s="8">
        <v>0</v>
      </c>
      <c r="H12" s="8"/>
      <c r="I12" s="8" t="s">
        <v>151</v>
      </c>
      <c r="J12" t="s">
        <v>127</v>
      </c>
      <c r="K12" s="20"/>
    </row>
    <row r="13" spans="1:11" x14ac:dyDescent="0.25">
      <c r="A13" s="19"/>
      <c r="B13" s="55">
        <v>1</v>
      </c>
      <c r="C13" t="s">
        <v>112</v>
      </c>
      <c r="D13" t="s">
        <v>130</v>
      </c>
      <c r="E13" s="12"/>
      <c r="F13" s="12" t="s">
        <v>114</v>
      </c>
      <c r="G13" s="8">
        <v>0</v>
      </c>
      <c r="H13" s="8"/>
      <c r="I13" s="8" t="s">
        <v>148</v>
      </c>
      <c r="J13" t="s">
        <v>127</v>
      </c>
      <c r="K13" s="20"/>
    </row>
    <row r="14" spans="1:11" x14ac:dyDescent="0.25">
      <c r="A14" t="s">
        <v>138</v>
      </c>
      <c r="B14" s="55">
        <v>1</v>
      </c>
      <c r="C14" t="s">
        <v>112</v>
      </c>
      <c r="D14" t="s">
        <v>131</v>
      </c>
      <c r="E14" s="12">
        <v>3</v>
      </c>
      <c r="F14" s="12" t="s">
        <v>114</v>
      </c>
      <c r="G14" s="8">
        <v>0</v>
      </c>
      <c r="H14" s="8" t="s">
        <v>213</v>
      </c>
      <c r="I14" s="8" t="s">
        <v>148</v>
      </c>
      <c r="K14" s="20" t="s">
        <v>95</v>
      </c>
    </row>
    <row r="15" spans="1:11" x14ac:dyDescent="0.25">
      <c r="A15" t="s">
        <v>139</v>
      </c>
      <c r="B15" s="55">
        <v>1</v>
      </c>
      <c r="C15" t="s">
        <v>119</v>
      </c>
      <c r="D15" t="s">
        <v>131</v>
      </c>
      <c r="E15" s="12">
        <v>2</v>
      </c>
      <c r="F15" s="12" t="s">
        <v>114</v>
      </c>
      <c r="G15" s="8">
        <v>0</v>
      </c>
      <c r="H15" s="8" t="s">
        <v>216</v>
      </c>
      <c r="I15" s="8" t="s">
        <v>153</v>
      </c>
      <c r="K15" s="20" t="s">
        <v>96</v>
      </c>
    </row>
    <row r="16" spans="1:11" x14ac:dyDescent="0.25">
      <c r="A16" t="s">
        <v>140</v>
      </c>
      <c r="B16" s="55">
        <v>1</v>
      </c>
      <c r="C16" t="s">
        <v>112</v>
      </c>
      <c r="D16" t="s">
        <v>131</v>
      </c>
      <c r="E16" s="12">
        <v>3</v>
      </c>
      <c r="F16" s="12" t="s">
        <v>114</v>
      </c>
      <c r="G16" s="8">
        <v>0</v>
      </c>
      <c r="H16" s="8" t="s">
        <v>213</v>
      </c>
      <c r="I16" s="8" t="s">
        <v>148</v>
      </c>
      <c r="K16" s="20" t="s">
        <v>97</v>
      </c>
    </row>
    <row r="17" spans="1:11" x14ac:dyDescent="0.25">
      <c r="A17" s="19"/>
      <c r="B17" s="55">
        <v>1</v>
      </c>
      <c r="C17" t="s">
        <v>128</v>
      </c>
      <c r="D17" t="s">
        <v>131</v>
      </c>
      <c r="E17" s="12"/>
      <c r="F17" s="12" t="s">
        <v>114</v>
      </c>
      <c r="G17" s="8">
        <v>0</v>
      </c>
      <c r="H17" s="8"/>
      <c r="I17" s="8" t="s">
        <v>154</v>
      </c>
      <c r="J17" t="s">
        <v>127</v>
      </c>
      <c r="K17" s="20"/>
    </row>
    <row r="18" spans="1:11" x14ac:dyDescent="0.25">
      <c r="A18" s="19"/>
      <c r="B18" s="55">
        <v>1</v>
      </c>
      <c r="C18" t="s">
        <v>128</v>
      </c>
      <c r="D18" t="s">
        <v>131</v>
      </c>
      <c r="E18" s="12"/>
      <c r="F18" s="12" t="s">
        <v>129</v>
      </c>
      <c r="G18" s="8">
        <v>0</v>
      </c>
      <c r="H18" s="8"/>
      <c r="I18" s="8" t="s">
        <v>153</v>
      </c>
      <c r="J18" t="s">
        <v>127</v>
      </c>
      <c r="K18" s="20"/>
    </row>
    <row r="19" spans="1:11" x14ac:dyDescent="0.25">
      <c r="A19" s="19"/>
      <c r="B19" s="55">
        <v>1</v>
      </c>
      <c r="C19" t="s">
        <v>128</v>
      </c>
      <c r="D19" t="s">
        <v>131</v>
      </c>
      <c r="E19" s="12"/>
      <c r="F19" s="12" t="s">
        <v>114</v>
      </c>
      <c r="G19" s="8">
        <v>0</v>
      </c>
      <c r="H19" s="8"/>
      <c r="I19" s="8" t="s">
        <v>148</v>
      </c>
      <c r="J19" t="s">
        <v>127</v>
      </c>
      <c r="K19" s="20"/>
    </row>
    <row r="20" spans="1:11" x14ac:dyDescent="0.25">
      <c r="A20" s="18" t="s">
        <v>141</v>
      </c>
      <c r="B20" s="55">
        <v>1</v>
      </c>
      <c r="C20" t="s">
        <v>112</v>
      </c>
      <c r="D20" t="s">
        <v>132</v>
      </c>
      <c r="E20" s="12">
        <v>2</v>
      </c>
      <c r="F20" s="12" t="s">
        <v>114</v>
      </c>
      <c r="G20" s="8">
        <v>0</v>
      </c>
      <c r="H20" s="8" t="s">
        <v>217</v>
      </c>
      <c r="I20" s="8" t="s">
        <v>148</v>
      </c>
      <c r="K20" s="20" t="s">
        <v>98</v>
      </c>
    </row>
    <row r="21" spans="1:11" x14ac:dyDescent="0.25">
      <c r="A21" s="18" t="s">
        <v>141</v>
      </c>
      <c r="B21" s="55">
        <v>1</v>
      </c>
      <c r="C21" t="s">
        <v>112</v>
      </c>
      <c r="D21" t="s">
        <v>132</v>
      </c>
      <c r="E21" s="12">
        <v>3</v>
      </c>
      <c r="F21" s="12" t="s">
        <v>114</v>
      </c>
      <c r="G21" s="8">
        <v>0</v>
      </c>
      <c r="H21" s="8" t="s">
        <v>217</v>
      </c>
      <c r="I21" s="8" t="s">
        <v>154</v>
      </c>
      <c r="K21" s="20" t="s">
        <v>162</v>
      </c>
    </row>
    <row r="22" spans="1:11" x14ac:dyDescent="0.25">
      <c r="A22" t="s">
        <v>142</v>
      </c>
      <c r="B22" s="55">
        <v>1</v>
      </c>
      <c r="C22" t="s">
        <v>119</v>
      </c>
      <c r="D22" t="s">
        <v>132</v>
      </c>
      <c r="E22" s="12">
        <v>3</v>
      </c>
      <c r="F22" s="12" t="s">
        <v>114</v>
      </c>
      <c r="G22" s="8">
        <v>1</v>
      </c>
      <c r="H22" s="8" t="s">
        <v>216</v>
      </c>
      <c r="I22" s="8" t="s">
        <v>152</v>
      </c>
      <c r="K22" s="20" t="s">
        <v>99</v>
      </c>
    </row>
    <row r="23" spans="1:11" x14ac:dyDescent="0.25">
      <c r="A23" s="18" t="s">
        <v>141</v>
      </c>
      <c r="B23" s="55">
        <v>1</v>
      </c>
      <c r="C23" t="s">
        <v>128</v>
      </c>
      <c r="D23" t="s">
        <v>132</v>
      </c>
      <c r="E23" s="12">
        <v>3</v>
      </c>
      <c r="F23" s="12" t="s">
        <v>129</v>
      </c>
      <c r="G23" s="8">
        <v>0</v>
      </c>
      <c r="H23" s="8" t="s">
        <v>216</v>
      </c>
      <c r="I23" s="8" t="s">
        <v>152</v>
      </c>
      <c r="K23" s="20" t="s">
        <v>100</v>
      </c>
    </row>
    <row r="24" spans="1:11" x14ac:dyDescent="0.25">
      <c r="A24" s="19"/>
      <c r="B24" s="55">
        <v>1</v>
      </c>
      <c r="C24" t="s">
        <v>119</v>
      </c>
      <c r="D24" t="s">
        <v>132</v>
      </c>
      <c r="E24" s="12"/>
      <c r="F24" s="12" t="s">
        <v>114</v>
      </c>
      <c r="G24" s="8">
        <v>0</v>
      </c>
      <c r="H24" s="8"/>
      <c r="I24" s="8" t="s">
        <v>157</v>
      </c>
      <c r="J24" t="s">
        <v>127</v>
      </c>
      <c r="K24" s="20"/>
    </row>
    <row r="25" spans="1:11" x14ac:dyDescent="0.25">
      <c r="A25" t="s">
        <v>234</v>
      </c>
      <c r="B25" s="55">
        <v>1</v>
      </c>
      <c r="C25" t="s">
        <v>119</v>
      </c>
      <c r="D25" t="s">
        <v>132</v>
      </c>
      <c r="E25" s="12"/>
      <c r="F25" s="12" t="s">
        <v>114</v>
      </c>
      <c r="G25" s="8">
        <v>0</v>
      </c>
      <c r="H25" s="8" t="s">
        <v>219</v>
      </c>
      <c r="I25" s="8" t="s">
        <v>150</v>
      </c>
      <c r="K25" s="20" t="s">
        <v>233</v>
      </c>
    </row>
    <row r="26" spans="1:11" x14ac:dyDescent="0.25">
      <c r="A26" t="s">
        <v>143</v>
      </c>
      <c r="B26" s="55">
        <v>1</v>
      </c>
      <c r="C26" t="s">
        <v>119</v>
      </c>
      <c r="D26" t="s">
        <v>133</v>
      </c>
      <c r="E26" s="12">
        <v>2</v>
      </c>
      <c r="F26" s="12" t="s">
        <v>114</v>
      </c>
      <c r="G26" s="8">
        <v>0</v>
      </c>
      <c r="H26" s="8" t="s">
        <v>216</v>
      </c>
      <c r="I26" s="8" t="s">
        <v>151</v>
      </c>
      <c r="K26" s="20" t="s">
        <v>101</v>
      </c>
    </row>
    <row r="27" spans="1:11" x14ac:dyDescent="0.25">
      <c r="A27" t="s">
        <v>144</v>
      </c>
      <c r="B27" s="55">
        <v>1</v>
      </c>
      <c r="C27" t="s">
        <v>119</v>
      </c>
      <c r="D27" t="s">
        <v>133</v>
      </c>
      <c r="E27" s="12">
        <v>5</v>
      </c>
      <c r="F27" s="12" t="s">
        <v>114</v>
      </c>
      <c r="G27" s="8">
        <v>0</v>
      </c>
      <c r="H27" s="8" t="s">
        <v>217</v>
      </c>
      <c r="I27" s="8" t="s">
        <v>148</v>
      </c>
      <c r="K27" s="20" t="s">
        <v>102</v>
      </c>
    </row>
    <row r="28" spans="1:11" x14ac:dyDescent="0.25">
      <c r="A28" t="s">
        <v>229</v>
      </c>
      <c r="B28" s="55">
        <v>1</v>
      </c>
      <c r="C28" t="s">
        <v>119</v>
      </c>
      <c r="D28" t="s">
        <v>133</v>
      </c>
      <c r="E28" s="12">
        <v>2</v>
      </c>
      <c r="F28" s="12" t="s">
        <v>114</v>
      </c>
      <c r="G28" s="8">
        <v>0</v>
      </c>
      <c r="H28" s="8" t="s">
        <v>219</v>
      </c>
      <c r="I28" s="8" t="s">
        <v>150</v>
      </c>
      <c r="K28" s="20" t="s">
        <v>231</v>
      </c>
    </row>
    <row r="29" spans="1:11" x14ac:dyDescent="0.25">
      <c r="A29" s="19"/>
      <c r="B29" s="55">
        <v>1</v>
      </c>
      <c r="C29" t="s">
        <v>128</v>
      </c>
      <c r="D29" t="s">
        <v>133</v>
      </c>
      <c r="E29" s="12"/>
      <c r="F29" s="12" t="s">
        <v>114</v>
      </c>
      <c r="G29" s="8">
        <v>0</v>
      </c>
      <c r="H29" s="8"/>
      <c r="I29" s="8" t="s">
        <v>151</v>
      </c>
      <c r="J29" t="s">
        <v>127</v>
      </c>
      <c r="K29" s="20"/>
    </row>
    <row r="30" spans="1:11" x14ac:dyDescent="0.25">
      <c r="A30" t="s">
        <v>230</v>
      </c>
      <c r="B30" s="55">
        <v>1</v>
      </c>
      <c r="C30" t="s">
        <v>119</v>
      </c>
      <c r="D30" t="s">
        <v>133</v>
      </c>
      <c r="E30" s="12">
        <v>3</v>
      </c>
      <c r="F30" s="12" t="s">
        <v>114</v>
      </c>
      <c r="G30" s="8">
        <v>1</v>
      </c>
      <c r="H30" s="8" t="s">
        <v>216</v>
      </c>
      <c r="I30" s="8" t="s">
        <v>150</v>
      </c>
      <c r="K30" s="20" t="s">
        <v>232</v>
      </c>
    </row>
    <row r="31" spans="1:11" x14ac:dyDescent="0.25">
      <c r="A31" s="19"/>
      <c r="B31" s="55">
        <v>1</v>
      </c>
      <c r="C31" t="s">
        <v>112</v>
      </c>
      <c r="D31" t="s">
        <v>133</v>
      </c>
      <c r="E31" s="12"/>
      <c r="F31" s="12" t="s">
        <v>114</v>
      </c>
      <c r="G31" s="8">
        <v>0</v>
      </c>
      <c r="H31" s="8"/>
      <c r="I31" s="8" t="s">
        <v>150</v>
      </c>
      <c r="J31" t="s">
        <v>127</v>
      </c>
      <c r="K31" s="20"/>
    </row>
    <row r="32" spans="1:11" x14ac:dyDescent="0.25">
      <c r="A32" s="19"/>
      <c r="B32" s="55">
        <v>1</v>
      </c>
      <c r="C32" t="s">
        <v>119</v>
      </c>
      <c r="D32" t="s">
        <v>133</v>
      </c>
      <c r="E32" s="12"/>
      <c r="F32" s="12" t="s">
        <v>114</v>
      </c>
      <c r="G32" s="8">
        <v>0</v>
      </c>
      <c r="H32" s="8"/>
      <c r="I32" s="8" t="s">
        <v>157</v>
      </c>
      <c r="J32" t="s">
        <v>127</v>
      </c>
      <c r="K32" s="20"/>
    </row>
    <row r="33" spans="1:11" x14ac:dyDescent="0.25">
      <c r="A33" t="s">
        <v>145</v>
      </c>
      <c r="B33" s="55">
        <v>1</v>
      </c>
      <c r="C33" t="s">
        <v>119</v>
      </c>
      <c r="D33" t="s">
        <v>134</v>
      </c>
      <c r="E33" s="12">
        <v>3</v>
      </c>
      <c r="F33" s="12" t="s">
        <v>114</v>
      </c>
      <c r="G33" s="8">
        <v>0</v>
      </c>
      <c r="H33" s="8" t="s">
        <v>213</v>
      </c>
      <c r="I33" s="8" t="s">
        <v>151</v>
      </c>
      <c r="K33" s="20" t="s">
        <v>103</v>
      </c>
    </row>
    <row r="34" spans="1:11" x14ac:dyDescent="0.25">
      <c r="A34" t="s">
        <v>146</v>
      </c>
      <c r="B34" s="55">
        <v>1</v>
      </c>
      <c r="C34" t="s">
        <v>112</v>
      </c>
      <c r="D34" t="s">
        <v>134</v>
      </c>
      <c r="E34" s="12">
        <v>5</v>
      </c>
      <c r="F34" s="12" t="s">
        <v>114</v>
      </c>
      <c r="G34" s="8">
        <v>0</v>
      </c>
      <c r="H34" s="8" t="s">
        <v>218</v>
      </c>
      <c r="I34" s="8" t="s">
        <v>153</v>
      </c>
      <c r="K34" s="20" t="s">
        <v>104</v>
      </c>
    </row>
    <row r="35" spans="1:11" x14ac:dyDescent="0.25">
      <c r="A35" t="s">
        <v>147</v>
      </c>
      <c r="B35" s="55">
        <v>1</v>
      </c>
      <c r="C35" t="s">
        <v>119</v>
      </c>
      <c r="D35" t="s">
        <v>134</v>
      </c>
      <c r="E35" s="12">
        <v>2</v>
      </c>
      <c r="F35" s="12" t="s">
        <v>114</v>
      </c>
      <c r="G35" s="8">
        <v>1</v>
      </c>
      <c r="H35" s="8" t="s">
        <v>219</v>
      </c>
      <c r="I35" s="8" t="s">
        <v>150</v>
      </c>
      <c r="K35" s="20" t="s">
        <v>105</v>
      </c>
    </row>
    <row r="36" spans="1:11" x14ac:dyDescent="0.25">
      <c r="A36" s="19"/>
      <c r="B36" s="55">
        <v>1</v>
      </c>
      <c r="C36" t="s">
        <v>112</v>
      </c>
      <c r="D36" t="s">
        <v>134</v>
      </c>
      <c r="E36" s="12"/>
      <c r="F36" s="12" t="s">
        <v>114</v>
      </c>
      <c r="G36" s="8">
        <v>0</v>
      </c>
      <c r="H36" s="8"/>
      <c r="I36" s="8" t="s">
        <v>151</v>
      </c>
      <c r="J36" t="s">
        <v>127</v>
      </c>
      <c r="K36" s="20"/>
    </row>
    <row r="37" spans="1:11" x14ac:dyDescent="0.25">
      <c r="A37" s="19"/>
      <c r="B37" s="55">
        <v>1</v>
      </c>
      <c r="C37" t="s">
        <v>112</v>
      </c>
      <c r="D37" t="s">
        <v>134</v>
      </c>
      <c r="E37" s="12"/>
      <c r="F37" s="12" t="s">
        <v>114</v>
      </c>
      <c r="G37" s="8">
        <v>0</v>
      </c>
      <c r="H37" s="8"/>
      <c r="I37" s="8" t="s">
        <v>148</v>
      </c>
      <c r="J37" t="s">
        <v>127</v>
      </c>
      <c r="K37" s="20"/>
    </row>
    <row r="38" spans="1:11" x14ac:dyDescent="0.25">
      <c r="A38" s="19"/>
      <c r="B38" s="55">
        <v>1</v>
      </c>
      <c r="C38" t="s">
        <v>128</v>
      </c>
      <c r="D38" t="s">
        <v>134</v>
      </c>
      <c r="E38" s="12"/>
      <c r="F38" s="12" t="s">
        <v>114</v>
      </c>
      <c r="G38" s="8">
        <v>0</v>
      </c>
      <c r="H38" s="8"/>
      <c r="I38" s="8" t="s">
        <v>157</v>
      </c>
      <c r="J38" t="s">
        <v>127</v>
      </c>
      <c r="K38" s="20"/>
    </row>
    <row r="39" spans="1:11" x14ac:dyDescent="0.25">
      <c r="A39" t="s">
        <v>155</v>
      </c>
      <c r="B39" s="55">
        <v>1</v>
      </c>
      <c r="C39" t="s">
        <v>119</v>
      </c>
      <c r="D39" t="s">
        <v>136</v>
      </c>
      <c r="E39" s="12">
        <v>2</v>
      </c>
      <c r="F39" s="12" t="s">
        <v>156</v>
      </c>
      <c r="G39" s="8">
        <v>0</v>
      </c>
      <c r="H39" s="8" t="s">
        <v>219</v>
      </c>
      <c r="I39" s="8" t="s">
        <v>150</v>
      </c>
      <c r="K39" s="20" t="s">
        <v>106</v>
      </c>
    </row>
    <row r="40" spans="1:11" x14ac:dyDescent="0.25">
      <c r="A40" s="18" t="s">
        <v>141</v>
      </c>
      <c r="B40" s="55">
        <v>1</v>
      </c>
      <c r="C40" t="s">
        <v>128</v>
      </c>
      <c r="D40" t="s">
        <v>136</v>
      </c>
      <c r="E40" s="12">
        <v>3</v>
      </c>
      <c r="F40" s="12" t="s">
        <v>114</v>
      </c>
      <c r="G40" s="8">
        <v>0</v>
      </c>
      <c r="H40" s="8" t="s">
        <v>219</v>
      </c>
      <c r="I40" s="8" t="s">
        <v>157</v>
      </c>
      <c r="K40" s="20" t="s">
        <v>107</v>
      </c>
    </row>
    <row r="41" spans="1:11" x14ac:dyDescent="0.25">
      <c r="A41" s="18" t="s">
        <v>141</v>
      </c>
      <c r="B41" s="55">
        <v>1</v>
      </c>
      <c r="C41" t="s">
        <v>112</v>
      </c>
      <c r="D41" t="s">
        <v>136</v>
      </c>
      <c r="E41" s="12">
        <v>3</v>
      </c>
      <c r="F41" s="12" t="s">
        <v>114</v>
      </c>
      <c r="G41" s="8">
        <v>0</v>
      </c>
      <c r="H41" s="8" t="s">
        <v>215</v>
      </c>
      <c r="I41" s="8" t="s">
        <v>148</v>
      </c>
      <c r="K41" s="20" t="s">
        <v>108</v>
      </c>
    </row>
    <row r="42" spans="1:11" x14ac:dyDescent="0.25">
      <c r="A42" s="19"/>
      <c r="B42" s="55">
        <v>1</v>
      </c>
      <c r="C42" t="s">
        <v>119</v>
      </c>
      <c r="D42" t="s">
        <v>136</v>
      </c>
      <c r="E42" s="12"/>
      <c r="F42" s="12"/>
      <c r="G42" s="8">
        <v>0</v>
      </c>
      <c r="H42" s="8"/>
      <c r="I42" s="8" t="s">
        <v>157</v>
      </c>
      <c r="J42" t="s">
        <v>127</v>
      </c>
      <c r="K42" s="20"/>
    </row>
    <row r="43" spans="1:11" x14ac:dyDescent="0.25">
      <c r="A43" t="s">
        <v>158</v>
      </c>
      <c r="B43" s="55">
        <v>1</v>
      </c>
      <c r="C43" t="s">
        <v>119</v>
      </c>
      <c r="D43" t="s">
        <v>135</v>
      </c>
      <c r="E43" s="12">
        <v>3</v>
      </c>
      <c r="F43" s="12" t="s">
        <v>114</v>
      </c>
      <c r="G43" s="8">
        <v>1</v>
      </c>
      <c r="H43" s="8" t="s">
        <v>215</v>
      </c>
      <c r="I43" s="8" t="s">
        <v>157</v>
      </c>
      <c r="K43" s="20" t="s">
        <v>109</v>
      </c>
    </row>
    <row r="44" spans="1:11" x14ac:dyDescent="0.25">
      <c r="A44" t="s">
        <v>159</v>
      </c>
      <c r="B44" s="55">
        <v>1</v>
      </c>
      <c r="C44" t="s">
        <v>119</v>
      </c>
      <c r="D44" t="s">
        <v>135</v>
      </c>
      <c r="E44" s="12">
        <v>2</v>
      </c>
      <c r="F44" s="12" t="s">
        <v>114</v>
      </c>
      <c r="G44" s="8">
        <v>0</v>
      </c>
      <c r="H44" s="8" t="s">
        <v>217</v>
      </c>
      <c r="I44" s="8" t="s">
        <v>150</v>
      </c>
      <c r="K44" s="20" t="s">
        <v>163</v>
      </c>
    </row>
    <row r="45" spans="1:11" x14ac:dyDescent="0.25">
      <c r="A45" t="s">
        <v>160</v>
      </c>
      <c r="B45" s="55">
        <v>1</v>
      </c>
      <c r="C45" t="s">
        <v>128</v>
      </c>
      <c r="D45" t="s">
        <v>135</v>
      </c>
      <c r="E45" s="12">
        <v>4</v>
      </c>
      <c r="F45" s="12" t="s">
        <v>114</v>
      </c>
      <c r="G45" s="8">
        <v>0</v>
      </c>
      <c r="H45" s="8" t="s">
        <v>216</v>
      </c>
      <c r="I45" s="8" t="s">
        <v>153</v>
      </c>
      <c r="K45" s="20" t="s">
        <v>110</v>
      </c>
    </row>
    <row r="46" spans="1:11" x14ac:dyDescent="0.25">
      <c r="A46" s="19"/>
      <c r="B46" s="55">
        <v>1</v>
      </c>
      <c r="C46" t="s">
        <v>112</v>
      </c>
      <c r="D46" t="s">
        <v>135</v>
      </c>
      <c r="E46" s="12"/>
      <c r="F46" s="12"/>
      <c r="G46" s="8">
        <v>0</v>
      </c>
      <c r="H46" s="8"/>
      <c r="I46" s="8" t="s">
        <v>154</v>
      </c>
      <c r="J46" t="s">
        <v>236</v>
      </c>
      <c r="K46" s="20"/>
    </row>
    <row r="47" spans="1:11" x14ac:dyDescent="0.25">
      <c r="A47" s="18" t="s">
        <v>141</v>
      </c>
      <c r="B47" s="55">
        <v>1</v>
      </c>
      <c r="C47" t="s">
        <v>128</v>
      </c>
      <c r="D47" t="s">
        <v>137</v>
      </c>
      <c r="E47" s="12">
        <v>6</v>
      </c>
      <c r="F47" s="12" t="s">
        <v>114</v>
      </c>
      <c r="G47" s="8">
        <v>0</v>
      </c>
      <c r="H47" s="8" t="s">
        <v>214</v>
      </c>
      <c r="I47" s="8" t="s">
        <v>154</v>
      </c>
      <c r="K47" s="20" t="s">
        <v>111</v>
      </c>
    </row>
    <row r="48" spans="1:11" x14ac:dyDescent="0.25">
      <c r="A48" s="19"/>
      <c r="B48" s="55">
        <v>1</v>
      </c>
      <c r="C48" t="s">
        <v>128</v>
      </c>
      <c r="D48" t="s">
        <v>137</v>
      </c>
      <c r="E48" s="12"/>
      <c r="F48" s="12"/>
      <c r="G48" s="8">
        <v>0</v>
      </c>
      <c r="H48" s="8"/>
      <c r="I48" s="8" t="s">
        <v>148</v>
      </c>
      <c r="J48" t="s">
        <v>127</v>
      </c>
      <c r="K48" s="20"/>
    </row>
    <row r="49" spans="1:11" x14ac:dyDescent="0.25">
      <c r="A49" s="19"/>
      <c r="B49" s="55">
        <v>1</v>
      </c>
      <c r="C49" t="s">
        <v>119</v>
      </c>
      <c r="D49" t="s">
        <v>137</v>
      </c>
      <c r="E49" s="12"/>
      <c r="F49" s="12"/>
      <c r="G49" s="8">
        <v>1</v>
      </c>
      <c r="H49" s="8"/>
      <c r="I49" s="8" t="s">
        <v>154</v>
      </c>
      <c r="J49" t="s">
        <v>127</v>
      </c>
      <c r="K49" s="20"/>
    </row>
    <row r="50" spans="1:11" x14ac:dyDescent="0.25">
      <c r="A50" t="s">
        <v>164</v>
      </c>
      <c r="B50" s="55">
        <v>2</v>
      </c>
      <c r="C50" t="s">
        <v>112</v>
      </c>
      <c r="D50" t="s">
        <v>113</v>
      </c>
      <c r="E50" s="12">
        <v>8</v>
      </c>
      <c r="F50" s="12" t="s">
        <v>114</v>
      </c>
      <c r="G50" s="8">
        <v>0</v>
      </c>
      <c r="H50" s="8" t="s">
        <v>218</v>
      </c>
      <c r="I50" s="8" t="s">
        <v>148</v>
      </c>
      <c r="K50" s="20" t="s">
        <v>221</v>
      </c>
    </row>
    <row r="51" spans="1:11" x14ac:dyDescent="0.25">
      <c r="A51" s="18" t="s">
        <v>141</v>
      </c>
      <c r="B51" s="55">
        <v>2</v>
      </c>
      <c r="C51" t="s">
        <v>119</v>
      </c>
      <c r="D51" t="s">
        <v>113</v>
      </c>
      <c r="E51" s="12">
        <v>6</v>
      </c>
      <c r="F51" s="12" t="s">
        <v>114</v>
      </c>
      <c r="G51" s="8">
        <v>1</v>
      </c>
      <c r="H51" s="8" t="s">
        <v>216</v>
      </c>
      <c r="I51" s="8" t="s">
        <v>148</v>
      </c>
      <c r="K51" s="20" t="s">
        <v>211</v>
      </c>
    </row>
    <row r="52" spans="1:11" x14ac:dyDescent="0.25">
      <c r="A52" s="19"/>
      <c r="B52" s="55">
        <v>2</v>
      </c>
      <c r="D52" t="s">
        <v>113</v>
      </c>
      <c r="E52" s="12"/>
      <c r="F52" s="12"/>
      <c r="G52" s="8">
        <v>0</v>
      </c>
      <c r="H52" s="8"/>
      <c r="I52" s="8" t="s">
        <v>154</v>
      </c>
      <c r="J52" t="s">
        <v>127</v>
      </c>
      <c r="K52" s="20"/>
    </row>
    <row r="53" spans="1:11" x14ac:dyDescent="0.25">
      <c r="A53" s="19"/>
      <c r="B53" s="55">
        <v>2</v>
      </c>
      <c r="D53" t="s">
        <v>113</v>
      </c>
      <c r="E53" s="12"/>
      <c r="F53" s="12"/>
      <c r="G53" s="8">
        <v>0</v>
      </c>
      <c r="H53" s="8"/>
      <c r="I53" s="8" t="s">
        <v>150</v>
      </c>
      <c r="J53" t="s">
        <v>127</v>
      </c>
      <c r="K53" s="20"/>
    </row>
    <row r="54" spans="1:11" x14ac:dyDescent="0.25">
      <c r="A54" s="19"/>
      <c r="B54" s="55">
        <v>2</v>
      </c>
      <c r="D54" t="s">
        <v>113</v>
      </c>
      <c r="E54" s="12"/>
      <c r="F54" s="12"/>
      <c r="G54" s="8">
        <v>0</v>
      </c>
      <c r="H54" s="8"/>
      <c r="I54" s="8" t="s">
        <v>157</v>
      </c>
      <c r="J54" t="s">
        <v>127</v>
      </c>
      <c r="K54" s="20"/>
    </row>
    <row r="55" spans="1:11" x14ac:dyDescent="0.25">
      <c r="A55" t="s">
        <v>166</v>
      </c>
      <c r="B55" s="55">
        <v>2</v>
      </c>
      <c r="C55" t="s">
        <v>119</v>
      </c>
      <c r="D55" t="s">
        <v>130</v>
      </c>
      <c r="E55" s="12">
        <v>3</v>
      </c>
      <c r="F55" s="12" t="s">
        <v>114</v>
      </c>
      <c r="G55" s="8">
        <v>0</v>
      </c>
      <c r="H55" s="8" t="s">
        <v>219</v>
      </c>
      <c r="I55" s="8" t="s">
        <v>151</v>
      </c>
      <c r="K55" s="20" t="s">
        <v>165</v>
      </c>
    </row>
    <row r="56" spans="1:11" x14ac:dyDescent="0.25">
      <c r="A56" t="s">
        <v>167</v>
      </c>
      <c r="B56" s="55">
        <v>2</v>
      </c>
      <c r="C56" t="s">
        <v>112</v>
      </c>
      <c r="D56" t="s">
        <v>130</v>
      </c>
      <c r="E56" s="12">
        <v>8</v>
      </c>
      <c r="F56" s="12" t="s">
        <v>114</v>
      </c>
      <c r="G56" s="8">
        <v>0</v>
      </c>
      <c r="H56" s="8" t="s">
        <v>213</v>
      </c>
      <c r="I56" s="8" t="s">
        <v>148</v>
      </c>
      <c r="K56" s="20" t="s">
        <v>222</v>
      </c>
    </row>
    <row r="57" spans="1:11" x14ac:dyDescent="0.25">
      <c r="A57" s="18" t="s">
        <v>141</v>
      </c>
      <c r="B57" s="55">
        <v>2</v>
      </c>
      <c r="C57" t="s">
        <v>128</v>
      </c>
      <c r="D57" t="s">
        <v>130</v>
      </c>
      <c r="E57" s="12">
        <v>5</v>
      </c>
      <c r="F57" s="12" t="s">
        <v>114</v>
      </c>
      <c r="G57" s="8">
        <v>0</v>
      </c>
      <c r="H57" s="8" t="s">
        <v>214</v>
      </c>
      <c r="I57" s="8" t="s">
        <v>154</v>
      </c>
      <c r="J57" t="s">
        <v>127</v>
      </c>
      <c r="K57" s="20" t="s">
        <v>228</v>
      </c>
    </row>
    <row r="58" spans="1:11" x14ac:dyDescent="0.25">
      <c r="A58" s="19"/>
      <c r="B58" s="55">
        <v>2</v>
      </c>
      <c r="D58" t="s">
        <v>130</v>
      </c>
      <c r="E58" s="12"/>
      <c r="F58" s="12"/>
      <c r="G58" s="8">
        <v>0</v>
      </c>
      <c r="H58" s="8"/>
      <c r="I58" s="8" t="s">
        <v>152</v>
      </c>
      <c r="J58" t="s">
        <v>127</v>
      </c>
      <c r="K58" s="20"/>
    </row>
    <row r="59" spans="1:11" x14ac:dyDescent="0.25">
      <c r="A59" t="s">
        <v>226</v>
      </c>
      <c r="B59" s="55">
        <v>2</v>
      </c>
      <c r="C59" t="s">
        <v>119</v>
      </c>
      <c r="D59" t="s">
        <v>130</v>
      </c>
      <c r="E59" s="12">
        <v>6</v>
      </c>
      <c r="F59" s="12" t="s">
        <v>114</v>
      </c>
      <c r="G59" s="8">
        <v>0</v>
      </c>
      <c r="H59" s="8" t="s">
        <v>213</v>
      </c>
      <c r="I59" s="8" t="s">
        <v>148</v>
      </c>
      <c r="K59" s="20" t="s">
        <v>227</v>
      </c>
    </row>
    <row r="60" spans="1:11" x14ac:dyDescent="0.25">
      <c r="A60" t="s">
        <v>169</v>
      </c>
      <c r="B60" s="55">
        <v>2</v>
      </c>
      <c r="C60" t="s">
        <v>128</v>
      </c>
      <c r="D60" t="s">
        <v>131</v>
      </c>
      <c r="E60" s="12">
        <v>4</v>
      </c>
      <c r="F60" s="12" t="s">
        <v>114</v>
      </c>
      <c r="G60" s="8">
        <v>0</v>
      </c>
      <c r="H60" s="8" t="s">
        <v>216</v>
      </c>
      <c r="I60" s="8" t="s">
        <v>153</v>
      </c>
      <c r="K60" s="20" t="s">
        <v>168</v>
      </c>
    </row>
    <row r="61" spans="1:11" x14ac:dyDescent="0.25">
      <c r="A61" t="s">
        <v>170</v>
      </c>
      <c r="B61" s="55">
        <v>2</v>
      </c>
      <c r="C61" t="s">
        <v>112</v>
      </c>
      <c r="D61" t="s">
        <v>131</v>
      </c>
      <c r="E61" s="12">
        <v>8</v>
      </c>
      <c r="F61" s="12" t="s">
        <v>114</v>
      </c>
      <c r="G61" s="8">
        <v>0</v>
      </c>
      <c r="H61" s="8" t="s">
        <v>216</v>
      </c>
      <c r="I61" s="8" t="s">
        <v>148</v>
      </c>
      <c r="K61" s="20" t="s">
        <v>220</v>
      </c>
    </row>
    <row r="62" spans="1:11" x14ac:dyDescent="0.25">
      <c r="A62" s="19"/>
      <c r="B62" s="55">
        <v>2</v>
      </c>
      <c r="D62" t="s">
        <v>131</v>
      </c>
      <c r="E62" s="12"/>
      <c r="F62" s="12"/>
      <c r="G62" s="8">
        <v>0</v>
      </c>
      <c r="H62" s="8"/>
      <c r="I62" s="8" t="s">
        <v>151</v>
      </c>
      <c r="J62" t="s">
        <v>127</v>
      </c>
      <c r="K62" s="20"/>
    </row>
    <row r="63" spans="1:11" x14ac:dyDescent="0.25">
      <c r="A63" s="19"/>
      <c r="B63" s="55">
        <v>2</v>
      </c>
      <c r="D63" t="s">
        <v>131</v>
      </c>
      <c r="E63" s="12"/>
      <c r="F63" s="12"/>
      <c r="G63" s="8">
        <v>0</v>
      </c>
      <c r="H63" s="8"/>
      <c r="I63" s="8" t="s">
        <v>154</v>
      </c>
      <c r="J63" t="s">
        <v>127</v>
      </c>
      <c r="K63" s="20"/>
    </row>
    <row r="64" spans="1:11" x14ac:dyDescent="0.25">
      <c r="A64" s="19"/>
      <c r="B64" s="55">
        <v>2</v>
      </c>
      <c r="D64" t="s">
        <v>131</v>
      </c>
      <c r="E64" s="12"/>
      <c r="F64" s="12"/>
      <c r="G64" s="8">
        <v>0</v>
      </c>
      <c r="H64" s="8"/>
      <c r="I64" s="8" t="s">
        <v>148</v>
      </c>
      <c r="J64" t="s">
        <v>127</v>
      </c>
      <c r="K64" s="20"/>
    </row>
    <row r="65" spans="1:11" x14ac:dyDescent="0.25">
      <c r="A65" s="18" t="s">
        <v>141</v>
      </c>
      <c r="B65" s="55">
        <v>2</v>
      </c>
      <c r="C65" t="s">
        <v>119</v>
      </c>
      <c r="D65" t="s">
        <v>132</v>
      </c>
      <c r="E65" s="12">
        <v>5</v>
      </c>
      <c r="F65" s="12" t="s">
        <v>114</v>
      </c>
      <c r="G65" s="8">
        <v>1</v>
      </c>
      <c r="H65" s="8" t="s">
        <v>217</v>
      </c>
      <c r="I65" s="8" t="s">
        <v>157</v>
      </c>
      <c r="K65" s="20" t="s">
        <v>172</v>
      </c>
    </row>
    <row r="66" spans="1:11" x14ac:dyDescent="0.25">
      <c r="A66" s="18" t="s">
        <v>141</v>
      </c>
      <c r="B66" s="55">
        <v>2</v>
      </c>
      <c r="C66" t="s">
        <v>112</v>
      </c>
      <c r="D66" t="s">
        <v>132</v>
      </c>
      <c r="E66" s="12">
        <v>4</v>
      </c>
      <c r="F66" s="12" t="s">
        <v>114</v>
      </c>
      <c r="G66" s="8">
        <v>0</v>
      </c>
      <c r="H66" s="8" t="s">
        <v>216</v>
      </c>
      <c r="I66" s="8" t="s">
        <v>151</v>
      </c>
      <c r="K66" s="20" t="s">
        <v>171</v>
      </c>
    </row>
    <row r="67" spans="1:11" x14ac:dyDescent="0.25">
      <c r="A67" s="19"/>
      <c r="B67" s="55">
        <v>2</v>
      </c>
      <c r="D67" t="s">
        <v>132</v>
      </c>
      <c r="E67" s="12"/>
      <c r="F67" s="12"/>
      <c r="G67" s="8">
        <v>0</v>
      </c>
      <c r="H67" s="8"/>
      <c r="I67" s="8" t="s">
        <v>148</v>
      </c>
      <c r="J67" t="s">
        <v>127</v>
      </c>
      <c r="K67" s="20"/>
    </row>
    <row r="68" spans="1:11" x14ac:dyDescent="0.25">
      <c r="A68" s="19"/>
      <c r="B68" s="55">
        <v>2</v>
      </c>
      <c r="D68" t="s">
        <v>132</v>
      </c>
      <c r="E68" s="12"/>
      <c r="F68" s="12"/>
      <c r="G68" s="8">
        <v>0</v>
      </c>
      <c r="H68" s="8"/>
      <c r="I68" s="8"/>
      <c r="J68" t="s">
        <v>127</v>
      </c>
      <c r="K68" s="20"/>
    </row>
    <row r="69" spans="1:11" x14ac:dyDescent="0.25">
      <c r="A69" s="19"/>
      <c r="B69" s="55">
        <v>2</v>
      </c>
      <c r="D69" t="s">
        <v>132</v>
      </c>
      <c r="E69" s="12"/>
      <c r="F69" s="12"/>
      <c r="G69" s="8">
        <v>0</v>
      </c>
      <c r="H69" s="8"/>
      <c r="I69" s="8"/>
      <c r="J69" t="s">
        <v>127</v>
      </c>
      <c r="K69" s="20"/>
    </row>
    <row r="70" spans="1:11" x14ac:dyDescent="0.25">
      <c r="A70" s="18" t="s">
        <v>141</v>
      </c>
      <c r="B70" s="55">
        <v>2</v>
      </c>
      <c r="C70" t="s">
        <v>128</v>
      </c>
      <c r="D70" t="s">
        <v>133</v>
      </c>
      <c r="E70" s="12">
        <v>5</v>
      </c>
      <c r="F70" s="12" t="s">
        <v>114</v>
      </c>
      <c r="G70" s="8">
        <v>0</v>
      </c>
      <c r="H70" s="8" t="s">
        <v>217</v>
      </c>
      <c r="I70" s="8" t="s">
        <v>154</v>
      </c>
      <c r="K70" s="20" t="s">
        <v>186</v>
      </c>
    </row>
    <row r="71" spans="1:11" x14ac:dyDescent="0.25">
      <c r="A71" s="21"/>
      <c r="B71" s="55">
        <v>2</v>
      </c>
      <c r="C71" t="s">
        <v>112</v>
      </c>
      <c r="D71" t="s">
        <v>133</v>
      </c>
      <c r="E71" s="12"/>
      <c r="F71" s="12"/>
      <c r="G71" s="8">
        <v>0</v>
      </c>
      <c r="H71" s="8"/>
      <c r="I71" s="8"/>
      <c r="J71" t="s">
        <v>173</v>
      </c>
      <c r="K71" s="20"/>
    </row>
    <row r="72" spans="1:11" x14ac:dyDescent="0.25">
      <c r="A72" t="s">
        <v>185</v>
      </c>
      <c r="B72" s="55">
        <v>2</v>
      </c>
      <c r="C72" t="s">
        <v>119</v>
      </c>
      <c r="D72" t="s">
        <v>133</v>
      </c>
      <c r="E72" s="12">
        <v>3</v>
      </c>
      <c r="F72" s="12" t="s">
        <v>114</v>
      </c>
      <c r="G72" s="8">
        <v>0</v>
      </c>
      <c r="H72" s="8" t="s">
        <v>216</v>
      </c>
      <c r="I72" s="8" t="s">
        <v>151</v>
      </c>
      <c r="K72" s="20" t="s">
        <v>174</v>
      </c>
    </row>
    <row r="73" spans="1:11" x14ac:dyDescent="0.25">
      <c r="A73" t="s">
        <v>184</v>
      </c>
      <c r="B73" s="55">
        <v>2</v>
      </c>
      <c r="C73" t="s">
        <v>119</v>
      </c>
      <c r="D73" t="s">
        <v>133</v>
      </c>
      <c r="E73" s="12">
        <v>4</v>
      </c>
      <c r="F73" s="12" t="s">
        <v>114</v>
      </c>
      <c r="G73" s="8">
        <v>0</v>
      </c>
      <c r="H73" s="8" t="s">
        <v>216</v>
      </c>
      <c r="I73" s="8" t="s">
        <v>151</v>
      </c>
      <c r="K73" s="20" t="s">
        <v>175</v>
      </c>
    </row>
    <row r="74" spans="1:11" x14ac:dyDescent="0.25">
      <c r="A74" s="19"/>
      <c r="B74" s="55">
        <v>2</v>
      </c>
      <c r="D74" t="s">
        <v>133</v>
      </c>
      <c r="E74" s="12"/>
      <c r="F74" s="12"/>
      <c r="G74" s="8">
        <v>0</v>
      </c>
      <c r="H74" s="8"/>
      <c r="I74" s="8" t="s">
        <v>148</v>
      </c>
      <c r="J74" t="s">
        <v>127</v>
      </c>
      <c r="K74" s="20"/>
    </row>
    <row r="75" spans="1:11" x14ac:dyDescent="0.25">
      <c r="A75" s="18" t="s">
        <v>141</v>
      </c>
      <c r="B75" s="55">
        <v>2</v>
      </c>
      <c r="C75" t="s">
        <v>119</v>
      </c>
      <c r="D75" t="s">
        <v>134</v>
      </c>
      <c r="E75" s="12">
        <v>7</v>
      </c>
      <c r="F75" s="12" t="s">
        <v>114</v>
      </c>
      <c r="G75" s="8">
        <v>1</v>
      </c>
      <c r="H75" s="8" t="s">
        <v>215</v>
      </c>
      <c r="I75" s="8" t="s">
        <v>154</v>
      </c>
      <c r="K75" s="20" t="s">
        <v>176</v>
      </c>
    </row>
    <row r="76" spans="1:11" x14ac:dyDescent="0.25">
      <c r="A76" s="18" t="s">
        <v>141</v>
      </c>
      <c r="B76" s="55">
        <v>2</v>
      </c>
      <c r="C76" t="s">
        <v>112</v>
      </c>
      <c r="D76" t="s">
        <v>134</v>
      </c>
      <c r="E76" s="12">
        <v>4</v>
      </c>
      <c r="F76" s="12" t="s">
        <v>114</v>
      </c>
      <c r="G76" s="8">
        <v>0</v>
      </c>
      <c r="H76" s="8" t="s">
        <v>214</v>
      </c>
      <c r="I76" s="8" t="s">
        <v>151</v>
      </c>
      <c r="K76" s="20" t="s">
        <v>177</v>
      </c>
    </row>
    <row r="77" spans="1:11" x14ac:dyDescent="0.25">
      <c r="A77" s="18" t="s">
        <v>141</v>
      </c>
      <c r="B77" s="55">
        <v>2</v>
      </c>
      <c r="C77" t="s">
        <v>112</v>
      </c>
      <c r="D77" t="s">
        <v>134</v>
      </c>
      <c r="E77" s="12">
        <v>5</v>
      </c>
      <c r="F77" s="12" t="s">
        <v>114</v>
      </c>
      <c r="G77" s="8">
        <v>0</v>
      </c>
      <c r="H77" s="8" t="s">
        <v>218</v>
      </c>
      <c r="I77" s="8" t="s">
        <v>153</v>
      </c>
      <c r="K77" s="20" t="s">
        <v>178</v>
      </c>
    </row>
    <row r="78" spans="1:11" x14ac:dyDescent="0.25">
      <c r="A78" s="18" t="s">
        <v>141</v>
      </c>
      <c r="B78" s="55">
        <v>2</v>
      </c>
      <c r="C78" t="s">
        <v>128</v>
      </c>
      <c r="D78" t="s">
        <v>134</v>
      </c>
      <c r="E78" s="12">
        <v>4</v>
      </c>
      <c r="F78" s="12" t="s">
        <v>129</v>
      </c>
      <c r="G78" s="8">
        <v>0</v>
      </c>
      <c r="H78" s="8" t="s">
        <v>216</v>
      </c>
      <c r="I78" s="8" t="s">
        <v>152</v>
      </c>
      <c r="K78" s="20" t="s">
        <v>179</v>
      </c>
    </row>
    <row r="79" spans="1:11" x14ac:dyDescent="0.25">
      <c r="A79" s="19"/>
      <c r="B79" s="55">
        <v>2</v>
      </c>
      <c r="D79" t="s">
        <v>134</v>
      </c>
      <c r="E79" s="12"/>
      <c r="F79" s="12"/>
      <c r="G79" s="8">
        <v>0</v>
      </c>
      <c r="H79" s="8"/>
      <c r="I79" s="8"/>
      <c r="J79" t="s">
        <v>127</v>
      </c>
      <c r="K79" s="20"/>
    </row>
    <row r="80" spans="1:11" x14ac:dyDescent="0.25">
      <c r="A80" s="18" t="s">
        <v>141</v>
      </c>
      <c r="B80" s="55">
        <v>2</v>
      </c>
      <c r="C80" t="s">
        <v>119</v>
      </c>
      <c r="D80" t="s">
        <v>136</v>
      </c>
      <c r="E80" s="12">
        <v>6</v>
      </c>
      <c r="F80" s="12" t="s">
        <v>114</v>
      </c>
      <c r="G80" s="8">
        <v>0</v>
      </c>
      <c r="H80" s="8" t="s">
        <v>214</v>
      </c>
      <c r="I80" s="8" t="s">
        <v>154</v>
      </c>
      <c r="K80" s="20" t="s">
        <v>223</v>
      </c>
    </row>
    <row r="81" spans="1:11" x14ac:dyDescent="0.25">
      <c r="A81" s="18" t="s">
        <v>141</v>
      </c>
      <c r="B81" s="55">
        <v>2</v>
      </c>
      <c r="C81" t="s">
        <v>128</v>
      </c>
      <c r="D81" t="s">
        <v>136</v>
      </c>
      <c r="E81" s="12">
        <v>5</v>
      </c>
      <c r="F81" s="12" t="s">
        <v>129</v>
      </c>
      <c r="G81" s="8">
        <v>0</v>
      </c>
      <c r="H81" s="8" t="s">
        <v>219</v>
      </c>
      <c r="I81" s="8" t="s">
        <v>157</v>
      </c>
      <c r="K81" s="20" t="s">
        <v>224</v>
      </c>
    </row>
    <row r="82" spans="1:11" x14ac:dyDescent="0.25">
      <c r="A82" s="19"/>
      <c r="B82" s="55">
        <v>2</v>
      </c>
      <c r="D82" t="s">
        <v>136</v>
      </c>
      <c r="E82" s="12"/>
      <c r="F82" s="12"/>
      <c r="G82" s="8">
        <v>0</v>
      </c>
      <c r="H82" s="8"/>
      <c r="I82" s="8"/>
      <c r="J82" t="s">
        <v>127</v>
      </c>
      <c r="K82" s="20"/>
    </row>
    <row r="83" spans="1:11" x14ac:dyDescent="0.25">
      <c r="A83" s="19"/>
      <c r="B83" s="55">
        <v>2</v>
      </c>
      <c r="D83" t="s">
        <v>136</v>
      </c>
      <c r="E83" s="12"/>
      <c r="F83" s="12"/>
      <c r="G83" s="8">
        <v>0</v>
      </c>
      <c r="H83" s="8"/>
      <c r="I83" s="8"/>
      <c r="J83" t="s">
        <v>127</v>
      </c>
      <c r="K83" s="20"/>
    </row>
    <row r="84" spans="1:11" x14ac:dyDescent="0.25">
      <c r="A84" s="18" t="s">
        <v>141</v>
      </c>
      <c r="B84" s="55">
        <v>2</v>
      </c>
      <c r="C84" t="s">
        <v>119</v>
      </c>
      <c r="D84" t="s">
        <v>135</v>
      </c>
      <c r="E84" s="12">
        <v>4</v>
      </c>
      <c r="F84" s="12" t="s">
        <v>114</v>
      </c>
      <c r="G84" s="8">
        <v>0</v>
      </c>
      <c r="H84" s="8" t="s">
        <v>216</v>
      </c>
      <c r="I84" s="8" t="s">
        <v>150</v>
      </c>
      <c r="K84" s="20" t="s">
        <v>180</v>
      </c>
    </row>
    <row r="85" spans="1:11" x14ac:dyDescent="0.25">
      <c r="A85" t="s">
        <v>183</v>
      </c>
      <c r="B85" s="55">
        <v>2</v>
      </c>
      <c r="C85" t="s">
        <v>119</v>
      </c>
      <c r="D85" t="s">
        <v>135</v>
      </c>
      <c r="E85" s="12">
        <v>5</v>
      </c>
      <c r="F85" s="12" t="s">
        <v>114</v>
      </c>
      <c r="G85" s="8">
        <v>1</v>
      </c>
      <c r="H85" s="8" t="s">
        <v>217</v>
      </c>
      <c r="I85" s="8" t="s">
        <v>148</v>
      </c>
      <c r="K85" s="20" t="s">
        <v>225</v>
      </c>
    </row>
    <row r="86" spans="1:11" x14ac:dyDescent="0.25">
      <c r="A86" s="19"/>
      <c r="B86" s="55">
        <v>2</v>
      </c>
      <c r="D86" t="s">
        <v>135</v>
      </c>
      <c r="E86" s="12"/>
      <c r="F86" s="12"/>
      <c r="G86" s="8">
        <v>0</v>
      </c>
      <c r="H86" s="8"/>
      <c r="I86" s="8"/>
      <c r="J86" t="s">
        <v>238</v>
      </c>
      <c r="K86" s="20"/>
    </row>
    <row r="87" spans="1:11" x14ac:dyDescent="0.25">
      <c r="A87" s="19"/>
      <c r="B87" s="55">
        <v>2</v>
      </c>
      <c r="D87" t="s">
        <v>135</v>
      </c>
      <c r="E87" s="12"/>
      <c r="F87" s="12"/>
      <c r="G87" s="8">
        <v>0</v>
      </c>
      <c r="H87" s="8"/>
      <c r="I87" s="8"/>
      <c r="J87" t="s">
        <v>127</v>
      </c>
      <c r="K87" s="20"/>
    </row>
    <row r="88" spans="1:11" x14ac:dyDescent="0.25">
      <c r="A88" t="s">
        <v>187</v>
      </c>
      <c r="B88" s="55">
        <v>2</v>
      </c>
      <c r="C88" t="s">
        <v>119</v>
      </c>
      <c r="D88" t="s">
        <v>137</v>
      </c>
      <c r="E88" s="12">
        <v>3</v>
      </c>
      <c r="F88" s="12" t="s">
        <v>114</v>
      </c>
      <c r="G88" s="8">
        <v>0</v>
      </c>
      <c r="H88" s="8" t="s">
        <v>216</v>
      </c>
      <c r="I88" s="8" t="s">
        <v>157</v>
      </c>
      <c r="K88" s="20" t="s">
        <v>209</v>
      </c>
    </row>
    <row r="89" spans="1:11" x14ac:dyDescent="0.25">
      <c r="A89" t="s">
        <v>188</v>
      </c>
      <c r="B89" s="55">
        <v>2</v>
      </c>
      <c r="C89" t="s">
        <v>128</v>
      </c>
      <c r="D89" t="s">
        <v>137</v>
      </c>
      <c r="E89" s="12">
        <v>6</v>
      </c>
      <c r="F89" s="12" t="s">
        <v>114</v>
      </c>
      <c r="G89" s="8">
        <v>0</v>
      </c>
      <c r="H89" s="8" t="s">
        <v>219</v>
      </c>
      <c r="I89" s="8" t="s">
        <v>154</v>
      </c>
      <c r="K89" s="20" t="s">
        <v>181</v>
      </c>
    </row>
    <row r="90" spans="1:11" x14ac:dyDescent="0.25">
      <c r="A90" t="s">
        <v>189</v>
      </c>
      <c r="B90" s="55">
        <v>2</v>
      </c>
      <c r="C90" t="s">
        <v>128</v>
      </c>
      <c r="D90" t="s">
        <v>137</v>
      </c>
      <c r="E90" s="12">
        <v>4</v>
      </c>
      <c r="F90" s="12" t="s">
        <v>129</v>
      </c>
      <c r="G90" s="8">
        <v>0</v>
      </c>
      <c r="H90" s="8" t="s">
        <v>219</v>
      </c>
      <c r="I90" s="8" t="s">
        <v>154</v>
      </c>
      <c r="K90" s="20" t="s">
        <v>182</v>
      </c>
    </row>
    <row r="91" spans="1:11" x14ac:dyDescent="0.25">
      <c r="A91" s="19"/>
      <c r="B91" s="55">
        <v>2</v>
      </c>
      <c r="D91" t="s">
        <v>137</v>
      </c>
      <c r="E91" s="12"/>
      <c r="F91" s="12"/>
      <c r="G91" s="8">
        <v>0</v>
      </c>
      <c r="H91" s="8"/>
      <c r="I91" s="8"/>
      <c r="J91" t="s">
        <v>127</v>
      </c>
      <c r="K91" s="20"/>
    </row>
    <row r="92" spans="1:11" x14ac:dyDescent="0.25">
      <c r="A92" s="19"/>
      <c r="B92" s="55">
        <v>3</v>
      </c>
      <c r="D92" t="s">
        <v>113</v>
      </c>
      <c r="E92" s="12"/>
      <c r="F92" s="12"/>
      <c r="G92" s="8">
        <v>0</v>
      </c>
      <c r="H92" s="8"/>
      <c r="I92" s="8" t="s">
        <v>151</v>
      </c>
      <c r="J92" t="s">
        <v>127</v>
      </c>
      <c r="K92" s="20"/>
    </row>
    <row r="93" spans="1:11" x14ac:dyDescent="0.25">
      <c r="A93" s="19"/>
      <c r="B93" s="55">
        <v>3</v>
      </c>
      <c r="D93" t="s">
        <v>113</v>
      </c>
      <c r="E93" s="12"/>
      <c r="F93" s="12"/>
      <c r="G93" s="8">
        <v>0</v>
      </c>
      <c r="H93" s="8"/>
      <c r="I93" s="8" t="s">
        <v>148</v>
      </c>
      <c r="J93" t="s">
        <v>127</v>
      </c>
      <c r="K93" s="20"/>
    </row>
    <row r="94" spans="1:11" x14ac:dyDescent="0.25">
      <c r="A94" t="s">
        <v>194</v>
      </c>
      <c r="B94" s="55">
        <v>3</v>
      </c>
      <c r="C94" t="s">
        <v>119</v>
      </c>
      <c r="D94" t="s">
        <v>113</v>
      </c>
      <c r="E94" s="12">
        <v>6</v>
      </c>
      <c r="F94" s="12" t="s">
        <v>114</v>
      </c>
      <c r="G94" s="8">
        <v>0</v>
      </c>
      <c r="H94" s="8" t="s">
        <v>215</v>
      </c>
      <c r="I94" s="8" t="s">
        <v>148</v>
      </c>
      <c r="J94" s="8"/>
      <c r="K94" s="20" t="s">
        <v>190</v>
      </c>
    </row>
    <row r="95" spans="1:11" x14ac:dyDescent="0.25">
      <c r="A95" s="19"/>
      <c r="B95" s="55">
        <v>3</v>
      </c>
      <c r="D95" t="s">
        <v>130</v>
      </c>
      <c r="E95" s="12"/>
      <c r="F95" s="12"/>
      <c r="G95" s="8">
        <v>0</v>
      </c>
      <c r="H95" s="8"/>
      <c r="I95" s="8"/>
      <c r="J95" t="s">
        <v>127</v>
      </c>
      <c r="K95" s="20"/>
    </row>
    <row r="96" spans="1:11" x14ac:dyDescent="0.25">
      <c r="A96" s="19"/>
      <c r="B96" s="55">
        <v>3</v>
      </c>
      <c r="D96" t="s">
        <v>130</v>
      </c>
      <c r="E96" s="12"/>
      <c r="F96" s="12"/>
      <c r="G96" s="8">
        <v>0</v>
      </c>
      <c r="H96" s="8"/>
      <c r="I96" s="8"/>
      <c r="J96" t="s">
        <v>127</v>
      </c>
      <c r="K96" s="20"/>
    </row>
    <row r="97" spans="1:11" x14ac:dyDescent="0.25">
      <c r="A97" t="s">
        <v>195</v>
      </c>
      <c r="B97" s="55">
        <v>3</v>
      </c>
      <c r="C97" t="s">
        <v>128</v>
      </c>
      <c r="D97" t="s">
        <v>130</v>
      </c>
      <c r="E97" s="12">
        <v>5</v>
      </c>
      <c r="F97" s="12" t="s">
        <v>114</v>
      </c>
      <c r="G97" s="8">
        <v>0</v>
      </c>
      <c r="H97" s="8" t="s">
        <v>217</v>
      </c>
      <c r="I97" s="8" t="s">
        <v>154</v>
      </c>
      <c r="J97" s="8"/>
      <c r="K97" s="20" t="s">
        <v>200</v>
      </c>
    </row>
    <row r="98" spans="1:11" x14ac:dyDescent="0.25">
      <c r="A98" s="19"/>
      <c r="B98" s="55">
        <v>3</v>
      </c>
      <c r="D98" t="s">
        <v>131</v>
      </c>
      <c r="E98" s="12"/>
      <c r="F98" s="12"/>
      <c r="G98" s="8">
        <v>0</v>
      </c>
      <c r="H98" s="8"/>
      <c r="I98" s="8"/>
      <c r="J98" t="s">
        <v>127</v>
      </c>
      <c r="K98" s="20"/>
    </row>
    <row r="99" spans="1:11" x14ac:dyDescent="0.25">
      <c r="A99" s="19"/>
      <c r="B99" s="55">
        <v>3</v>
      </c>
      <c r="D99" t="s">
        <v>131</v>
      </c>
      <c r="E99" s="12"/>
      <c r="F99" s="12"/>
      <c r="G99" s="8">
        <v>0</v>
      </c>
      <c r="H99" s="8"/>
      <c r="I99" s="8"/>
      <c r="J99" t="s">
        <v>127</v>
      </c>
      <c r="K99" s="20"/>
    </row>
    <row r="100" spans="1:11" x14ac:dyDescent="0.25">
      <c r="A100" t="s">
        <v>196</v>
      </c>
      <c r="B100" s="55">
        <v>3</v>
      </c>
      <c r="C100" t="s">
        <v>112</v>
      </c>
      <c r="D100" t="s">
        <v>131</v>
      </c>
      <c r="E100" s="12">
        <v>9</v>
      </c>
      <c r="F100" s="12" t="s">
        <v>114</v>
      </c>
      <c r="G100" s="8">
        <v>0</v>
      </c>
      <c r="H100" s="8" t="s">
        <v>213</v>
      </c>
      <c r="I100" s="8" t="s">
        <v>148</v>
      </c>
      <c r="J100" s="8"/>
      <c r="K100" s="20" t="s">
        <v>191</v>
      </c>
    </row>
    <row r="101" spans="1:11" x14ac:dyDescent="0.25">
      <c r="A101" s="19"/>
      <c r="B101" s="55">
        <v>3</v>
      </c>
      <c r="D101" t="s">
        <v>132</v>
      </c>
      <c r="E101" s="12"/>
      <c r="F101" s="12"/>
      <c r="G101" s="8">
        <v>0</v>
      </c>
      <c r="H101" s="8"/>
      <c r="I101" s="8"/>
      <c r="J101" t="s">
        <v>127</v>
      </c>
      <c r="K101" s="20"/>
    </row>
    <row r="102" spans="1:11" x14ac:dyDescent="0.25">
      <c r="A102" s="19"/>
      <c r="B102" s="55">
        <v>3</v>
      </c>
      <c r="D102" t="s">
        <v>132</v>
      </c>
      <c r="E102" s="12"/>
      <c r="F102" s="12"/>
      <c r="G102" s="8">
        <v>0</v>
      </c>
      <c r="H102" s="8"/>
      <c r="I102" s="8"/>
      <c r="J102" t="s">
        <v>127</v>
      </c>
      <c r="K102" s="20"/>
    </row>
    <row r="103" spans="1:11" x14ac:dyDescent="0.25">
      <c r="A103" t="s">
        <v>207</v>
      </c>
      <c r="B103" s="55">
        <v>3</v>
      </c>
      <c r="C103" t="s">
        <v>119</v>
      </c>
      <c r="D103" t="s">
        <v>132</v>
      </c>
      <c r="E103" s="12">
        <v>6</v>
      </c>
      <c r="F103" s="12" t="s">
        <v>114</v>
      </c>
      <c r="G103" s="8">
        <v>0</v>
      </c>
      <c r="H103" s="8" t="s">
        <v>216</v>
      </c>
      <c r="I103" s="8" t="s">
        <v>152</v>
      </c>
      <c r="K103" s="20" t="s">
        <v>208</v>
      </c>
    </row>
    <row r="104" spans="1:11" x14ac:dyDescent="0.25">
      <c r="A104" s="19"/>
      <c r="B104" s="55">
        <v>3</v>
      </c>
      <c r="D104" t="s">
        <v>133</v>
      </c>
      <c r="E104" s="12"/>
      <c r="F104" s="12"/>
      <c r="G104" s="8">
        <v>0</v>
      </c>
      <c r="H104" s="8"/>
      <c r="I104" s="8"/>
      <c r="J104" t="s">
        <v>127</v>
      </c>
      <c r="K104" s="20"/>
    </row>
    <row r="105" spans="1:11" x14ac:dyDescent="0.25">
      <c r="A105" t="s">
        <v>197</v>
      </c>
      <c r="B105" s="55">
        <v>3</v>
      </c>
      <c r="C105" t="s">
        <v>119</v>
      </c>
      <c r="D105" t="s">
        <v>133</v>
      </c>
      <c r="E105" s="12"/>
      <c r="F105" s="12" t="s">
        <v>114</v>
      </c>
      <c r="G105" s="8">
        <v>0</v>
      </c>
      <c r="H105" s="8" t="s">
        <v>214</v>
      </c>
      <c r="I105" s="8" t="s">
        <v>148</v>
      </c>
      <c r="J105" s="8"/>
      <c r="K105" s="20" t="s">
        <v>192</v>
      </c>
    </row>
    <row r="106" spans="1:11" x14ac:dyDescent="0.25">
      <c r="A106" t="s">
        <v>198</v>
      </c>
      <c r="B106" s="55">
        <v>3</v>
      </c>
      <c r="C106" t="s">
        <v>128</v>
      </c>
      <c r="D106" t="s">
        <v>133</v>
      </c>
      <c r="E106" s="12">
        <v>5</v>
      </c>
      <c r="F106" s="12" t="s">
        <v>114</v>
      </c>
      <c r="G106" s="8">
        <v>0</v>
      </c>
      <c r="H106" s="8" t="s">
        <v>217</v>
      </c>
      <c r="I106" s="8" t="s">
        <v>154</v>
      </c>
      <c r="J106" s="8"/>
      <c r="K106" s="20" t="s">
        <v>239</v>
      </c>
    </row>
    <row r="107" spans="1:11" x14ac:dyDescent="0.25">
      <c r="A107" s="19"/>
      <c r="B107" s="55">
        <v>3</v>
      </c>
      <c r="D107" t="s">
        <v>134</v>
      </c>
      <c r="E107" s="12"/>
      <c r="F107" s="12"/>
      <c r="G107" s="8">
        <v>0</v>
      </c>
      <c r="H107" s="8"/>
      <c r="I107" s="8"/>
      <c r="J107" t="s">
        <v>127</v>
      </c>
      <c r="K107" s="20"/>
    </row>
    <row r="108" spans="1:11" x14ac:dyDescent="0.25">
      <c r="A108" s="19"/>
      <c r="B108" s="55">
        <v>3</v>
      </c>
      <c r="D108" t="s">
        <v>134</v>
      </c>
      <c r="E108" s="12"/>
      <c r="F108" s="12"/>
      <c r="G108" s="8">
        <v>0</v>
      </c>
      <c r="H108" s="8"/>
      <c r="I108" s="8"/>
      <c r="J108" t="s">
        <v>127</v>
      </c>
      <c r="K108" s="20"/>
    </row>
    <row r="109" spans="1:11" x14ac:dyDescent="0.25">
      <c r="A109" s="19"/>
      <c r="B109" s="55">
        <v>3</v>
      </c>
      <c r="D109" t="s">
        <v>134</v>
      </c>
      <c r="E109" s="12"/>
      <c r="F109" s="12"/>
      <c r="G109" s="8">
        <v>0</v>
      </c>
      <c r="H109" s="8"/>
      <c r="I109" s="8"/>
      <c r="J109" t="s">
        <v>127</v>
      </c>
      <c r="K109" s="20"/>
    </row>
    <row r="110" spans="1:11" x14ac:dyDescent="0.25">
      <c r="A110" s="19"/>
      <c r="B110" s="55">
        <v>3</v>
      </c>
      <c r="D110" t="s">
        <v>136</v>
      </c>
      <c r="E110" s="12"/>
      <c r="F110" s="12"/>
      <c r="G110" s="8">
        <v>0</v>
      </c>
      <c r="H110" s="8"/>
      <c r="I110" s="8"/>
      <c r="J110" t="s">
        <v>127</v>
      </c>
      <c r="K110" s="20"/>
    </row>
    <row r="111" spans="1:11" x14ac:dyDescent="0.25">
      <c r="A111" s="19"/>
      <c r="B111" s="55">
        <v>3</v>
      </c>
      <c r="D111" t="s">
        <v>136</v>
      </c>
      <c r="E111" s="12"/>
      <c r="F111" s="12"/>
      <c r="G111" s="8">
        <v>0</v>
      </c>
      <c r="H111" s="8"/>
      <c r="I111" s="8"/>
      <c r="J111" t="s">
        <v>127</v>
      </c>
      <c r="K111" s="20"/>
    </row>
    <row r="112" spans="1:11" x14ac:dyDescent="0.25">
      <c r="A112" s="19"/>
      <c r="B112" s="55">
        <v>3</v>
      </c>
      <c r="D112" t="s">
        <v>136</v>
      </c>
      <c r="E112" s="12"/>
      <c r="F112" s="12"/>
      <c r="G112" s="8">
        <v>0</v>
      </c>
      <c r="H112" s="8"/>
      <c r="I112" s="8"/>
      <c r="J112" t="s">
        <v>127</v>
      </c>
      <c r="K112" s="20"/>
    </row>
    <row r="113" spans="1:11" x14ac:dyDescent="0.25">
      <c r="A113" s="19"/>
      <c r="B113" s="55">
        <v>3</v>
      </c>
      <c r="C113" t="s">
        <v>128</v>
      </c>
      <c r="D113" t="s">
        <v>135</v>
      </c>
      <c r="E113" s="12">
        <v>5</v>
      </c>
      <c r="F113" s="12"/>
      <c r="G113" s="8">
        <v>0</v>
      </c>
      <c r="H113" s="8"/>
      <c r="I113" s="8"/>
      <c r="J113" t="s">
        <v>237</v>
      </c>
      <c r="K113" s="20"/>
    </row>
    <row r="114" spans="1:11" x14ac:dyDescent="0.25">
      <c r="A114" s="19"/>
      <c r="B114" s="55">
        <v>3</v>
      </c>
      <c r="D114" t="s">
        <v>135</v>
      </c>
      <c r="E114" s="12"/>
      <c r="F114" s="12"/>
      <c r="G114" s="8">
        <v>0</v>
      </c>
      <c r="H114" s="8"/>
      <c r="I114" s="8"/>
      <c r="J114" t="s">
        <v>127</v>
      </c>
      <c r="K114" s="20"/>
    </row>
    <row r="115" spans="1:11" x14ac:dyDescent="0.25">
      <c r="A115" t="s">
        <v>199</v>
      </c>
      <c r="B115" s="55">
        <v>3</v>
      </c>
      <c r="C115" t="s">
        <v>119</v>
      </c>
      <c r="D115" t="s">
        <v>135</v>
      </c>
      <c r="E115" s="12">
        <v>6</v>
      </c>
      <c r="F115" s="12" t="s">
        <v>114</v>
      </c>
      <c r="G115" s="8">
        <v>0</v>
      </c>
      <c r="H115" s="8" t="s">
        <v>214</v>
      </c>
      <c r="I115" s="8" t="s">
        <v>148</v>
      </c>
      <c r="J115" s="8"/>
      <c r="K115" s="20" t="s">
        <v>193</v>
      </c>
    </row>
    <row r="116" spans="1:11" x14ac:dyDescent="0.25">
      <c r="A116" s="19"/>
      <c r="B116" s="55">
        <v>3</v>
      </c>
      <c r="D116" t="s">
        <v>137</v>
      </c>
      <c r="E116" s="12"/>
      <c r="F116" s="12"/>
      <c r="G116" s="8">
        <v>0</v>
      </c>
      <c r="H116" s="8"/>
      <c r="I116" s="8"/>
      <c r="J116" t="s">
        <v>127</v>
      </c>
      <c r="K116" s="20"/>
    </row>
    <row r="117" spans="1:11" x14ac:dyDescent="0.25">
      <c r="A117" s="19"/>
      <c r="B117" s="55">
        <v>3</v>
      </c>
      <c r="D117" t="s">
        <v>137</v>
      </c>
      <c r="E117" s="12"/>
      <c r="F117" s="12"/>
      <c r="G117" s="8">
        <v>0</v>
      </c>
      <c r="H117" s="8"/>
      <c r="I117" s="8"/>
      <c r="J117" t="s">
        <v>127</v>
      </c>
      <c r="K117" s="20"/>
    </row>
    <row r="118" spans="1:11" x14ac:dyDescent="0.25">
      <c r="A118" s="19"/>
      <c r="B118" s="55">
        <v>3</v>
      </c>
      <c r="D118" t="s">
        <v>137</v>
      </c>
      <c r="E118" s="12"/>
      <c r="F118" s="12"/>
      <c r="G118" s="8">
        <v>0</v>
      </c>
      <c r="H118" s="8"/>
      <c r="I118" s="8"/>
      <c r="J118" t="s">
        <v>127</v>
      </c>
      <c r="K118" s="20"/>
    </row>
  </sheetData>
  <conditionalFormatting sqref="D2:D118">
    <cfRule type="cellIs" dxfId="8" priority="2" operator="equal">
      <formula>"Psy"</formula>
    </cfRule>
    <cfRule type="cellIs" dxfId="7" priority="3" operator="equal">
      <formula>"Nature"</formula>
    </cfRule>
    <cfRule type="cellIs" dxfId="6" priority="4" operator="equal">
      <formula>"Lumière"</formula>
    </cfRule>
    <cfRule type="cellIs" dxfId="5" priority="5" operator="equal">
      <formula>"Air"</formula>
    </cfRule>
    <cfRule type="cellIs" dxfId="4" priority="6" operator="equal">
      <formula>"Arcane"</formula>
    </cfRule>
    <cfRule type="cellIs" dxfId="3" priority="7" operator="equal">
      <formula>"Terre"</formula>
    </cfRule>
    <cfRule type="cellIs" dxfId="2" priority="8" operator="equal">
      <formula>"Foudre"</formula>
    </cfRule>
    <cfRule type="cellIs" dxfId="1" priority="9" operator="equal">
      <formula>"Glace"</formula>
    </cfRule>
    <cfRule type="cellIs" dxfId="0" priority="10" operator="equal">
      <formula>"Feu"</formula>
    </cfRule>
  </conditionalFormatting>
  <conditionalFormatting sqref="G2:G118">
    <cfRule type="iconSet" priority="333">
      <iconSet showValue="0">
        <cfvo type="percent" val="0"/>
        <cfvo type="num" val="1"/>
        <cfvo type="num" val="1"/>
      </iconSet>
    </cfRule>
  </conditionalFormatting>
  <dataValidations count="8">
    <dataValidation type="list" allowBlank="1" showInputMessage="1" showErrorMessage="1" sqref="F116:F118 F2:F114" xr:uid="{2083E503-2689-41C9-A93E-8CE4062F1A40}">
      <formula1>"action,reaction,1 minute,10 minutes,1 heure"</formula1>
    </dataValidation>
    <dataValidation type="whole" allowBlank="1" showInputMessage="1" showErrorMessage="1" sqref="E116:E118 E2:E114" xr:uid="{277A64F4-06A3-4F8B-8D7E-7B26AC49BCF7}">
      <formula1>1</formula1>
      <formula2>12</formula2>
    </dataValidation>
    <dataValidation type="list" allowBlank="1" showInputMessage="1" showErrorMessage="1" sqref="G116:G118 G2:G114" xr:uid="{89D20B98-0352-48BB-84AB-46A7B75F233D}">
      <formula1>"0,1"</formula1>
    </dataValidation>
    <dataValidation type="list" allowBlank="1" showInputMessage="1" showErrorMessage="1" sqref="I116:I118 I2:I114" xr:uid="{EEEF00A1-B479-48E4-9738-8C1CA993F5D4}">
      <formula1>"Dégats,Buff,Debuff,Support,Tank,Mouvement,Utilitaire"</formula1>
    </dataValidation>
    <dataValidation type="list" allowBlank="1" showInputMessage="1" showErrorMessage="1" sqref="B2:B118" xr:uid="{4E8EEFDD-9A07-4C02-B158-2419EFCF1C07}">
      <formula1>"1,2,3"</formula1>
    </dataValidation>
    <dataValidation type="list" allowBlank="1" showInputMessage="1" showErrorMessage="1" sqref="C2:C118" xr:uid="{944F5A31-BB05-4287-A785-62BE9C98A95C}">
      <formula1>"Savoir,Precision,Instinct"</formula1>
    </dataValidation>
    <dataValidation type="list" allowBlank="1" showInputMessage="1" showErrorMessage="1" sqref="D2:D118" xr:uid="{674B968A-C0D9-4833-A197-50E2FD2957BD}">
      <formula1>"Feu,Glace,Foudre,Terre,Arcane,Air,Lumière,Nature,Psy"</formula1>
    </dataValidation>
    <dataValidation type="list" allowBlank="1" showInputMessage="1" showErrorMessage="1" sqref="H2:H118" xr:uid="{AB5DB6C7-3A8C-4DCA-ABDD-C8C07B9161E5}">
      <formula1>"Toucher,Personnel,3 cases,6 cases,9 cases,12 cases,18 cases,Spécial"</formula1>
    </dataValidation>
  </dataValidations>
  <pageMargins left="0.7" right="0.7" top="0.75" bottom="0.75" header="0.3" footer="0.3"/>
  <pageSetup paperSize="9"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1AF726-0DDD-41DD-9FD1-BB03B62862CE}">
  <dimension ref="A1:C10"/>
  <sheetViews>
    <sheetView workbookViewId="0">
      <selection activeCell="A2" sqref="A2"/>
    </sheetView>
  </sheetViews>
  <sheetFormatPr baseColWidth="10" defaultRowHeight="15" x14ac:dyDescent="0.25"/>
  <cols>
    <col min="1" max="1" width="18" bestFit="1" customWidth="1"/>
  </cols>
  <sheetData>
    <row r="1" spans="1:3" x14ac:dyDescent="0.25">
      <c r="A1" t="s">
        <v>3</v>
      </c>
      <c r="B1" t="s">
        <v>1</v>
      </c>
      <c r="C1" t="s">
        <v>2</v>
      </c>
    </row>
    <row r="2" spans="1:3" x14ac:dyDescent="0.25">
      <c r="A2" t="s">
        <v>10</v>
      </c>
      <c r="B2" t="s">
        <v>15</v>
      </c>
      <c r="C2" t="s">
        <v>12</v>
      </c>
    </row>
    <row r="3" spans="1:3" x14ac:dyDescent="0.25">
      <c r="A3" t="s">
        <v>9</v>
      </c>
      <c r="B3" t="s">
        <v>5</v>
      </c>
      <c r="C3" t="s">
        <v>12</v>
      </c>
    </row>
    <row r="4" spans="1:3" x14ac:dyDescent="0.25">
      <c r="A4" t="s">
        <v>11</v>
      </c>
      <c r="B4" t="s">
        <v>14</v>
      </c>
      <c r="C4" t="s">
        <v>12</v>
      </c>
    </row>
    <row r="5" spans="1:3" x14ac:dyDescent="0.25">
      <c r="A5" t="s">
        <v>7</v>
      </c>
      <c r="B5" t="s">
        <v>15</v>
      </c>
      <c r="C5" t="s">
        <v>5</v>
      </c>
    </row>
    <row r="6" spans="1:3" x14ac:dyDescent="0.25">
      <c r="A6" t="s">
        <v>5</v>
      </c>
      <c r="B6" t="s">
        <v>5</v>
      </c>
      <c r="C6" t="s">
        <v>5</v>
      </c>
    </row>
    <row r="7" spans="1:3" x14ac:dyDescent="0.25">
      <c r="A7" t="s">
        <v>0</v>
      </c>
      <c r="B7" t="s">
        <v>14</v>
      </c>
      <c r="C7" t="s">
        <v>5</v>
      </c>
    </row>
    <row r="8" spans="1:3" x14ac:dyDescent="0.25">
      <c r="A8" t="s">
        <v>6</v>
      </c>
      <c r="B8" t="s">
        <v>15</v>
      </c>
      <c r="C8" t="s">
        <v>13</v>
      </c>
    </row>
    <row r="9" spans="1:3" x14ac:dyDescent="0.25">
      <c r="A9" t="s">
        <v>4</v>
      </c>
      <c r="B9" t="s">
        <v>5</v>
      </c>
      <c r="C9" t="s">
        <v>13</v>
      </c>
    </row>
    <row r="10" spans="1:3" x14ac:dyDescent="0.25">
      <c r="A10" t="s">
        <v>8</v>
      </c>
      <c r="B10" t="s">
        <v>14</v>
      </c>
      <c r="C10" t="s">
        <v>13</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43449353-0093-46B3-9590-22C9F2821D18}">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4</vt:i4>
      </vt:variant>
      <vt:variant>
        <vt:lpstr>Plages nommées</vt:lpstr>
      </vt:variant>
      <vt:variant>
        <vt:i4>3</vt:i4>
      </vt:variant>
    </vt:vector>
  </HeadingPairs>
  <TitlesOfParts>
    <vt:vector size="7" baseType="lpstr">
      <vt:lpstr>Récap</vt:lpstr>
      <vt:lpstr>Aspects</vt:lpstr>
      <vt:lpstr>Sorts</vt:lpstr>
      <vt:lpstr>Feuil2</vt:lpstr>
      <vt:lpstr>WCHARAC</vt:lpstr>
      <vt:lpstr>WMENTAL</vt:lpstr>
      <vt:lpstr>WPHYSIC</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Clément Pons</dc:creator>
  <cp:lastModifiedBy>Peaceultime</cp:lastModifiedBy>
  <dcterms:created xsi:type="dcterms:W3CDTF">2024-02-07T20:50:05Z</dcterms:created>
  <dcterms:modified xsi:type="dcterms:W3CDTF">2025-05-29T07:01:44Z</dcterms:modified>
</cp:coreProperties>
</file>