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pons\Documents\Perso\Docs\Système Aspect\"/>
    </mc:Choice>
  </mc:AlternateContent>
  <xr:revisionPtr revIDLastSave="0" documentId="13_ncr:1_{9F2B9951-428B-467A-9480-8562D6DD7F2F}" xr6:coauthVersionLast="47" xr6:coauthVersionMax="47" xr10:uidLastSave="{00000000-0000-0000-0000-000000000000}"/>
  <bookViews>
    <workbookView xWindow="-28920" yWindow="-120" windowWidth="29040" windowHeight="15840" activeTab="1" xr2:uid="{200AB9DF-C0C3-4752-B0BD-0EF65030082E}"/>
  </bookViews>
  <sheets>
    <sheet name="Récap" sheetId="3" r:id="rId1"/>
    <sheet name="Données" sheetId="1" r:id="rId2"/>
    <sheet name="Feuil2" sheetId="2" state="hidden" r:id="rId3"/>
  </sheets>
  <calcPr calcId="191029"/>
  <pivotCaches>
    <pivotCache cacheId="31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" i="1" l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R22" i="1"/>
  <c r="R3" i="1"/>
  <c r="R4" i="1"/>
  <c r="R31" i="1"/>
  <c r="R5" i="1"/>
  <c r="R32" i="1"/>
  <c r="R35" i="1"/>
  <c r="R33" i="1"/>
  <c r="R2" i="1"/>
  <c r="R34" i="1"/>
  <c r="R6" i="1"/>
  <c r="R7" i="1"/>
  <c r="R8" i="1"/>
  <c r="R9" i="1"/>
  <c r="R10" i="1"/>
  <c r="R11" i="1"/>
  <c r="R12" i="1"/>
  <c r="R13" i="1"/>
  <c r="R14" i="1"/>
  <c r="R37" i="1"/>
  <c r="R15" i="1"/>
  <c r="R16" i="1"/>
  <c r="R17" i="1"/>
  <c r="R18" i="1"/>
  <c r="R19" i="1"/>
  <c r="R20" i="1"/>
  <c r="R21" i="1"/>
  <c r="R23" i="1"/>
  <c r="R24" i="1"/>
  <c r="R25" i="1"/>
  <c r="R26" i="1"/>
  <c r="R27" i="1"/>
  <c r="R28" i="1"/>
  <c r="R29" i="1"/>
  <c r="R30" i="1"/>
  <c r="R36" i="1"/>
  <c r="T33" i="1"/>
  <c r="T2" i="1"/>
  <c r="T6" i="1"/>
  <c r="T7" i="1"/>
  <c r="T10" i="1"/>
  <c r="T13" i="1"/>
  <c r="T20" i="1"/>
  <c r="T21" i="1"/>
  <c r="T23" i="1"/>
  <c r="T27" i="1"/>
  <c r="T29" i="1"/>
  <c r="L3" i="1"/>
  <c r="T3" i="1" s="1"/>
  <c r="L4" i="1"/>
  <c r="T4" i="1" s="1"/>
  <c r="L31" i="1"/>
  <c r="T31" i="1" s="1"/>
  <c r="L5" i="1"/>
  <c r="T5" i="1" s="1"/>
  <c r="L34" i="1"/>
  <c r="T34" i="1" s="1"/>
  <c r="L32" i="1"/>
  <c r="T32" i="1" s="1"/>
  <c r="L33" i="1"/>
  <c r="L2" i="1"/>
  <c r="L6" i="1"/>
  <c r="L7" i="1"/>
  <c r="L8" i="1"/>
  <c r="T8" i="1" s="1"/>
  <c r="L9" i="1"/>
  <c r="T9" i="1" s="1"/>
  <c r="L10" i="1"/>
  <c r="L11" i="1"/>
  <c r="T11" i="1" s="1"/>
  <c r="L12" i="1"/>
  <c r="T12" i="1" s="1"/>
  <c r="L13" i="1"/>
  <c r="L14" i="1"/>
  <c r="T14" i="1" s="1"/>
  <c r="L15" i="1"/>
  <c r="T15" i="1" s="1"/>
  <c r="L16" i="1"/>
  <c r="T16" i="1" s="1"/>
  <c r="L17" i="1"/>
  <c r="T17" i="1" s="1"/>
  <c r="L18" i="1"/>
  <c r="T18" i="1" s="1"/>
  <c r="L19" i="1"/>
  <c r="T19" i="1" s="1"/>
  <c r="L20" i="1"/>
  <c r="L21" i="1"/>
  <c r="L23" i="1"/>
  <c r="L24" i="1"/>
  <c r="T24" i="1" s="1"/>
  <c r="L25" i="1"/>
  <c r="T25" i="1" s="1"/>
  <c r="L26" i="1"/>
  <c r="T26" i="1" s="1"/>
  <c r="L27" i="1"/>
  <c r="L28" i="1"/>
  <c r="T28" i="1" s="1"/>
  <c r="L29" i="1"/>
  <c r="L30" i="1"/>
  <c r="T30" i="1" s="1"/>
  <c r="L35" i="1"/>
  <c r="T35" i="1" s="1"/>
  <c r="L36" i="1"/>
  <c r="T36" i="1" s="1"/>
  <c r="L37" i="1"/>
  <c r="T37" i="1" s="1"/>
  <c r="L22" i="1"/>
  <c r="T22" i="1" s="1"/>
  <c r="B7" i="1"/>
  <c r="E7" i="1"/>
  <c r="H7" i="1"/>
  <c r="K7" i="1"/>
  <c r="S7" i="1" s="1"/>
  <c r="P7" i="1"/>
  <c r="Q7" i="1"/>
  <c r="B23" i="1"/>
  <c r="E23" i="1"/>
  <c r="H23" i="1"/>
  <c r="K23" i="1"/>
  <c r="S23" i="1" s="1"/>
  <c r="P23" i="1"/>
  <c r="Q23" i="1"/>
  <c r="B28" i="1"/>
  <c r="E28" i="1"/>
  <c r="H28" i="1"/>
  <c r="K28" i="1"/>
  <c r="P28" i="1"/>
  <c r="Q28" i="1"/>
  <c r="B15" i="1"/>
  <c r="E15" i="1"/>
  <c r="H15" i="1"/>
  <c r="K15" i="1"/>
  <c r="P15" i="1"/>
  <c r="Q15" i="1"/>
  <c r="B8" i="1"/>
  <c r="E8" i="1"/>
  <c r="H8" i="1"/>
  <c r="K8" i="1"/>
  <c r="P8" i="1"/>
  <c r="Q8" i="1"/>
  <c r="B9" i="1"/>
  <c r="E9" i="1"/>
  <c r="H9" i="1"/>
  <c r="K9" i="1"/>
  <c r="S9" i="1" s="1"/>
  <c r="P9" i="1"/>
  <c r="Q9" i="1"/>
  <c r="B31" i="1"/>
  <c r="E31" i="1"/>
  <c r="H31" i="1"/>
  <c r="K31" i="1"/>
  <c r="S31" i="1" s="1"/>
  <c r="P31" i="1"/>
  <c r="Q31" i="1"/>
  <c r="B36" i="1"/>
  <c r="E36" i="1"/>
  <c r="H36" i="1"/>
  <c r="K36" i="1"/>
  <c r="P36" i="1"/>
  <c r="Q36" i="1"/>
  <c r="B33" i="1"/>
  <c r="E33" i="1"/>
  <c r="H33" i="1"/>
  <c r="K33" i="1"/>
  <c r="P33" i="1"/>
  <c r="Q33" i="1"/>
  <c r="B35" i="1"/>
  <c r="E35" i="1"/>
  <c r="H35" i="1"/>
  <c r="K35" i="1"/>
  <c r="P35" i="1"/>
  <c r="Q35" i="1"/>
  <c r="B22" i="1"/>
  <c r="E22" i="1"/>
  <c r="H22" i="1"/>
  <c r="K22" i="1"/>
  <c r="P22" i="1"/>
  <c r="Q22" i="1"/>
  <c r="B24" i="1"/>
  <c r="E24" i="1"/>
  <c r="H24" i="1"/>
  <c r="K24" i="1"/>
  <c r="P24" i="1"/>
  <c r="Q24" i="1"/>
  <c r="B16" i="1"/>
  <c r="E16" i="1"/>
  <c r="H16" i="1"/>
  <c r="K16" i="1"/>
  <c r="P16" i="1"/>
  <c r="Q16" i="1"/>
  <c r="B25" i="1"/>
  <c r="E25" i="1"/>
  <c r="H25" i="1"/>
  <c r="K25" i="1"/>
  <c r="S25" i="1" s="1"/>
  <c r="P25" i="1"/>
  <c r="Q25" i="1"/>
  <c r="B5" i="1"/>
  <c r="E5" i="1"/>
  <c r="H5" i="1"/>
  <c r="K5" i="1"/>
  <c r="S5" i="1" s="1"/>
  <c r="P5" i="1"/>
  <c r="Q5" i="1"/>
  <c r="B10" i="1"/>
  <c r="E10" i="1"/>
  <c r="H10" i="1"/>
  <c r="K10" i="1"/>
  <c r="P10" i="1"/>
  <c r="Q10" i="1"/>
  <c r="B3" i="1"/>
  <c r="E3" i="1"/>
  <c r="H3" i="1"/>
  <c r="K3" i="1"/>
  <c r="P3" i="1"/>
  <c r="Q3" i="1"/>
  <c r="B11" i="1"/>
  <c r="E11" i="1"/>
  <c r="H11" i="1"/>
  <c r="K11" i="1"/>
  <c r="P11" i="1"/>
  <c r="Q11" i="1"/>
  <c r="B29" i="1"/>
  <c r="E29" i="1"/>
  <c r="H29" i="1"/>
  <c r="K29" i="1"/>
  <c r="P29" i="1"/>
  <c r="Q29" i="1"/>
  <c r="B17" i="1"/>
  <c r="E17" i="1"/>
  <c r="H17" i="1"/>
  <c r="K17" i="1"/>
  <c r="P17" i="1"/>
  <c r="Q17" i="1"/>
  <c r="B12" i="1"/>
  <c r="E12" i="1"/>
  <c r="H12" i="1"/>
  <c r="K12" i="1"/>
  <c r="P12" i="1"/>
  <c r="Q12" i="1"/>
  <c r="B18" i="1"/>
  <c r="E18" i="1"/>
  <c r="H18" i="1"/>
  <c r="K18" i="1"/>
  <c r="S18" i="1" s="1"/>
  <c r="P18" i="1"/>
  <c r="Q18" i="1"/>
  <c r="B26" i="1"/>
  <c r="E26" i="1"/>
  <c r="H26" i="1"/>
  <c r="K26" i="1"/>
  <c r="U26" i="1" s="1"/>
  <c r="P26" i="1"/>
  <c r="Q26" i="1"/>
  <c r="B2" i="1"/>
  <c r="E2" i="1"/>
  <c r="H2" i="1"/>
  <c r="K2" i="1"/>
  <c r="P2" i="1"/>
  <c r="Q2" i="1"/>
  <c r="B30" i="1"/>
  <c r="E30" i="1"/>
  <c r="H30" i="1"/>
  <c r="K30" i="1"/>
  <c r="P30" i="1"/>
  <c r="Q30" i="1"/>
  <c r="B19" i="1"/>
  <c r="E19" i="1"/>
  <c r="H19" i="1"/>
  <c r="K19" i="1"/>
  <c r="P19" i="1"/>
  <c r="Q19" i="1"/>
  <c r="B13" i="1"/>
  <c r="E13" i="1"/>
  <c r="H13" i="1"/>
  <c r="K13" i="1"/>
  <c r="P13" i="1"/>
  <c r="Q13" i="1"/>
  <c r="B6" i="1"/>
  <c r="E6" i="1"/>
  <c r="H6" i="1"/>
  <c r="K6" i="1"/>
  <c r="P6" i="1"/>
  <c r="Q6" i="1"/>
  <c r="B34" i="1"/>
  <c r="E34" i="1"/>
  <c r="H34" i="1"/>
  <c r="K34" i="1"/>
  <c r="P34" i="1"/>
  <c r="Q34" i="1"/>
  <c r="B14" i="1"/>
  <c r="E14" i="1"/>
  <c r="H14" i="1"/>
  <c r="K14" i="1"/>
  <c r="S14" i="1" s="1"/>
  <c r="P14" i="1"/>
  <c r="Q14" i="1"/>
  <c r="B37" i="1"/>
  <c r="E37" i="1"/>
  <c r="H37" i="1"/>
  <c r="K37" i="1"/>
  <c r="S37" i="1" s="1"/>
  <c r="P37" i="1"/>
  <c r="Q37" i="1"/>
  <c r="B4" i="1"/>
  <c r="E4" i="1"/>
  <c r="H4" i="1"/>
  <c r="K4" i="1"/>
  <c r="P4" i="1"/>
  <c r="Q4" i="1"/>
  <c r="B32" i="1"/>
  <c r="E32" i="1"/>
  <c r="H32" i="1"/>
  <c r="K32" i="1"/>
  <c r="P32" i="1"/>
  <c r="Q32" i="1"/>
  <c r="B20" i="1"/>
  <c r="E20" i="1"/>
  <c r="H20" i="1"/>
  <c r="K20" i="1"/>
  <c r="P20" i="1"/>
  <c r="Q20" i="1"/>
  <c r="B27" i="1"/>
  <c r="E27" i="1"/>
  <c r="H27" i="1"/>
  <c r="K27" i="1"/>
  <c r="P27" i="1"/>
  <c r="Q27" i="1"/>
  <c r="B21" i="1"/>
  <c r="E21" i="1"/>
  <c r="H21" i="1"/>
  <c r="K21" i="1"/>
  <c r="P21" i="1"/>
  <c r="Q21" i="1"/>
  <c r="C11" i="3"/>
  <c r="C12" i="3"/>
  <c r="C13" i="3"/>
  <c r="C14" i="3"/>
  <c r="C15" i="3"/>
  <c r="C16" i="3"/>
  <c r="C17" i="3"/>
  <c r="S13" i="1" l="1"/>
  <c r="S29" i="1"/>
  <c r="S22" i="1"/>
  <c r="S28" i="1"/>
  <c r="S4" i="1"/>
  <c r="U2" i="1"/>
  <c r="S10" i="1"/>
  <c r="S36" i="1"/>
  <c r="S34" i="1"/>
  <c r="S12" i="1"/>
  <c r="S16" i="1"/>
  <c r="S8" i="1"/>
  <c r="S20" i="1"/>
  <c r="S19" i="1"/>
  <c r="S11" i="1"/>
  <c r="S35" i="1"/>
  <c r="S27" i="1"/>
  <c r="U21" i="1"/>
  <c r="S6" i="1"/>
  <c r="S17" i="1"/>
  <c r="S24" i="1"/>
  <c r="S15" i="1"/>
  <c r="S32" i="1"/>
  <c r="S30" i="1"/>
  <c r="S3" i="1"/>
  <c r="S33" i="1"/>
  <c r="S21" i="1"/>
  <c r="S2" i="1"/>
  <c r="U23" i="1"/>
  <c r="S26" i="1"/>
  <c r="U7" i="1"/>
  <c r="U20" i="1"/>
  <c r="U25" i="1"/>
  <c r="U9" i="1"/>
  <c r="U32" i="1"/>
  <c r="U8" i="1"/>
  <c r="U24" i="1"/>
  <c r="U6" i="1"/>
  <c r="U33" i="1"/>
  <c r="U18" i="1"/>
  <c r="U34" i="1"/>
  <c r="U22" i="1"/>
  <c r="U17" i="1"/>
  <c r="U5" i="1"/>
  <c r="U37" i="1"/>
  <c r="U16" i="1"/>
  <c r="U31" i="1"/>
  <c r="U36" i="1"/>
  <c r="U15" i="1"/>
  <c r="U4" i="1"/>
  <c r="U35" i="1"/>
  <c r="U14" i="1"/>
  <c r="U3" i="1"/>
  <c r="U30" i="1"/>
  <c r="U13" i="1"/>
  <c r="U29" i="1"/>
  <c r="U12" i="1"/>
  <c r="U19" i="1"/>
  <c r="U28" i="1"/>
  <c r="U11" i="1"/>
  <c r="U27" i="1"/>
  <c r="U10" i="1"/>
  <c r="D17" i="3"/>
  <c r="D14" i="3"/>
  <c r="D16" i="3"/>
  <c r="C3" i="3"/>
  <c r="D15" i="3"/>
  <c r="D13" i="3"/>
  <c r="D12" i="3"/>
  <c r="D11" i="3"/>
  <c r="C8" i="3"/>
  <c r="C7" i="3"/>
  <c r="C5" i="3"/>
  <c r="C9" i="3"/>
  <c r="C4" i="3"/>
  <c r="D9" i="3" l="1"/>
  <c r="D5" i="3"/>
  <c r="D4" i="3"/>
  <c r="D7" i="3"/>
  <c r="D8" i="3"/>
  <c r="D3" i="3"/>
</calcChain>
</file>

<file path=xl/sharedStrings.xml><?xml version="1.0" encoding="utf-8"?>
<sst xmlns="http://schemas.openxmlformats.org/spreadsheetml/2006/main" count="198" uniqueCount="79">
  <si>
    <t>Neutre mauvais</t>
  </si>
  <si>
    <t>Bonté</t>
  </si>
  <si>
    <t>Loyauté</t>
  </si>
  <si>
    <t>Alignement</t>
  </si>
  <si>
    <t>Chaotique neutre</t>
  </si>
  <si>
    <t>Neutre</t>
  </si>
  <si>
    <t>Chaotique bon</t>
  </si>
  <si>
    <t>Neutre bon</t>
  </si>
  <si>
    <t>Chaotique mauvais</t>
  </si>
  <si>
    <t>Loyal neutre</t>
  </si>
  <si>
    <t>Loyal bon</t>
  </si>
  <si>
    <t>Loyal mauvais</t>
  </si>
  <si>
    <t>Loyal</t>
  </si>
  <si>
    <t>Chaotique</t>
  </si>
  <si>
    <t>Mauvais</t>
  </si>
  <si>
    <t>Bon</t>
  </si>
  <si>
    <t>Nyelis</t>
  </si>
  <si>
    <t>Hashura</t>
  </si>
  <si>
    <t>Akkatom</t>
  </si>
  <si>
    <t>Othompa</t>
  </si>
  <si>
    <t>Thymeïr</t>
  </si>
  <si>
    <t>Kuelid</t>
  </si>
  <si>
    <t>Goldreg</t>
  </si>
  <si>
    <t>Kronian</t>
  </si>
  <si>
    <t>Anseilid</t>
  </si>
  <si>
    <t>Brukaur</t>
  </si>
  <si>
    <t>Digride</t>
  </si>
  <si>
    <t>Phy max</t>
  </si>
  <si>
    <t>Men min</t>
  </si>
  <si>
    <t>Men max</t>
  </si>
  <si>
    <t>Cha min</t>
  </si>
  <si>
    <t>Cha max</t>
  </si>
  <si>
    <t>Aspect</t>
  </si>
  <si>
    <t>Physique</t>
  </si>
  <si>
    <t>Mental</t>
  </si>
  <si>
    <t>Charactère</t>
  </si>
  <si>
    <t>Magie</t>
  </si>
  <si>
    <t>Stat favorite</t>
  </si>
  <si>
    <t>Force</t>
  </si>
  <si>
    <t>Dextérité</t>
  </si>
  <si>
    <t>Résilience</t>
  </si>
  <si>
    <t>Intelligence</t>
  </si>
  <si>
    <t>Curiosité</t>
  </si>
  <si>
    <t>Éloquence</t>
  </si>
  <si>
    <t>Psyché</t>
  </si>
  <si>
    <t>Shelfine</t>
  </si>
  <si>
    <t>Zeniom</t>
  </si>
  <si>
    <t>Miador</t>
  </si>
  <si>
    <t>Asnol</t>
  </si>
  <si>
    <t>Shlahog</t>
  </si>
  <si>
    <t>Onimee</t>
  </si>
  <si>
    <t>Promolide</t>
  </si>
  <si>
    <t>Calderan</t>
  </si>
  <si>
    <t>Nigiak</t>
  </si>
  <si>
    <t>Franeline</t>
  </si>
  <si>
    <t>Lonidae</t>
  </si>
  <si>
    <t>Vadeaxil</t>
  </si>
  <si>
    <t>Urdi'rik</t>
  </si>
  <si>
    <t>Beth'oit</t>
  </si>
  <si>
    <t>Arsinam</t>
  </si>
  <si>
    <t>Mul'dekar</t>
  </si>
  <si>
    <t>Yinkovn</t>
  </si>
  <si>
    <t>Rudnard</t>
  </si>
  <si>
    <t>Zaliax</t>
  </si>
  <si>
    <t>Incabat</t>
  </si>
  <si>
    <t>Jernius</t>
  </si>
  <si>
    <t>Qua'faltar</t>
  </si>
  <si>
    <t>Phy min</t>
  </si>
  <si>
    <t>Min stats</t>
  </si>
  <si>
    <t>Ka Bii</t>
  </si>
  <si>
    <t>Doa Tua</t>
  </si>
  <si>
    <t>Drinbuur</t>
  </si>
  <si>
    <t>Max stats</t>
  </si>
  <si>
    <t>Range stats</t>
  </si>
  <si>
    <t>Nombre</t>
  </si>
  <si>
    <t>Étiquettes</t>
  </si>
  <si>
    <t>Range</t>
  </si>
  <si>
    <t>Min</t>
  </si>
  <si>
    <t>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</si>
</sst>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1" fontId="0" fillId="0" borderId="0" xfId="0" applyNumberFormat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2" xfId="0" applyBorder="1"/>
    <xf numFmtId="164" fontId="0" fillId="0" borderId="3" xfId="1" applyNumberFormat="1" applyFont="1" applyBorder="1"/>
    <xf numFmtId="164" fontId="0" fillId="0" borderId="5" xfId="1" applyNumberFormat="1" applyFont="1" applyBorder="1"/>
    <xf numFmtId="164" fontId="0" fillId="0" borderId="8" xfId="1" applyNumberFormat="1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 applyAlignment="1">
      <alignment horizontal="center" vertical="center"/>
    </xf>
  </cellXfs>
  <cellStyles count="2">
    <cellStyle name="Normal" xfId="0" builtinId="0"/>
    <cellStyle name="Pourcentage" xfId="1" builtinId="5"/>
  </cellStyles>
  <dxfs count="21">
    <dxf>
      <numFmt numFmtId="1" formatCode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</dxf>
    <dxf>
      <numFmt numFmtId="1" formatCode="0"/>
    </dxf>
    <dxf>
      <numFmt numFmtId="0" formatCode="General"/>
    </dxf>
    <dxf>
      <numFmt numFmtId="30" formatCode="@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0" formatCode="General"/>
    </dxf>
    <dxf>
      <numFmt numFmtId="1" formatCode="0"/>
    </dxf>
    <dxf>
      <numFmt numFmtId="1" formatCode="0"/>
    </dxf>
    <dxf>
      <numFmt numFmtId="0" formatCode="General"/>
    </dxf>
    <dxf>
      <numFmt numFmtId="1" formatCode="0"/>
    </dxf>
    <dxf>
      <numFmt numFmtId="1" formatCode="0"/>
    </dxf>
    <dxf>
      <numFmt numFmtId="0" formatCode="General"/>
    </dxf>
    <dxf>
      <numFmt numFmtId="30" formatCode="@"/>
    </dxf>
  </dxfs>
  <tableStyles count="1" defaultTableStyle="TableStyleMedium2" defaultPivotStyle="PivotStyleLight16">
    <tableStyle name="Neutre" pivot="0" count="0" xr9:uid="{6361CA36-85CB-4715-BBC4-33F0F5CC9D8A}"/>
  </tableStyles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lément PONS" refreshedDate="45330.567862037038" createdVersion="8" refreshedVersion="8" minRefreshableVersion="3" recordCount="36" xr:uid="{B2C4A21F-6C02-4AD4-B33F-9B17E06CB94F}">
  <cacheSource type="worksheet">
    <worksheetSource name="Tableau2"/>
  </cacheSource>
  <cacheFields count="18">
    <cacheField name="Aspect" numFmtId="0">
      <sharedItems/>
    </cacheField>
    <cacheField name="Physique" numFmtId="0">
      <sharedItems/>
    </cacheField>
    <cacheField name="Phy min" numFmtId="1">
      <sharedItems containsString="0" containsBlank="1" containsNumber="1" containsInteger="1" minValue="3" maxValue="15"/>
    </cacheField>
    <cacheField name="Phy max" numFmtId="1">
      <sharedItems containsString="0" containsBlank="1" containsNumber="1" containsInteger="1" minValue="10" maxValue="30"/>
    </cacheField>
    <cacheField name="Mental" numFmtId="0">
      <sharedItems/>
    </cacheField>
    <cacheField name="Men min" numFmtId="1">
      <sharedItems containsSemiMixedTypes="0" containsString="0" containsNumber="1" containsInteger="1" minValue="0" maxValue="15"/>
    </cacheField>
    <cacheField name="Men max" numFmtId="1">
      <sharedItems containsString="0" containsBlank="1" containsNumber="1" containsInteger="1" minValue="10" maxValue="30"/>
    </cacheField>
    <cacheField name="Charactère" numFmtId="0">
      <sharedItems/>
    </cacheField>
    <cacheField name="Cha min" numFmtId="1">
      <sharedItems containsString="0" containsBlank="1" containsNumber="1" containsInteger="1" minValue="8" maxValue="12"/>
    </cacheField>
    <cacheField name="Cha max" numFmtId="1">
      <sharedItems containsString="0" containsBlank="1" containsNumber="1" containsInteger="1" minValue="18" maxValue="25"/>
    </cacheField>
    <cacheField name="Min stats" numFmtId="1">
      <sharedItems containsSemiMixedTypes="0" containsString="0" containsNumber="1" containsInteger="1" minValue="5" maxValue="30"/>
    </cacheField>
    <cacheField name="Max stats" numFmtId="1">
      <sharedItems containsSemiMixedTypes="0" containsString="0" containsNumber="1" containsInteger="1" minValue="0" maxValue="65"/>
    </cacheField>
    <cacheField name="Range stats" numFmtId="1">
      <sharedItems containsSemiMixedTypes="0" containsString="0" containsNumber="1" containsInteger="1" minValue="-20" maxValue="35"/>
    </cacheField>
    <cacheField name="Stat favorite" numFmtId="1">
      <sharedItems containsBlank="1" count="8">
        <s v="Dextérité"/>
        <s v="Force"/>
        <s v="Éloquence"/>
        <s v="Psyché"/>
        <s v="Résilience"/>
        <s v="Curiosité"/>
        <s v="Intelligence"/>
        <m u="1"/>
      </sharedItems>
    </cacheField>
    <cacheField name="Alignement" numFmtId="49">
      <sharedItems/>
    </cacheField>
    <cacheField name="Bonté" numFmtId="0">
      <sharedItems count="3">
        <s v="Neutre"/>
        <s v="Mauvais"/>
        <s v="Bon"/>
      </sharedItems>
    </cacheField>
    <cacheField name="Loyauté" numFmtId="0">
      <sharedItems count="3">
        <s v="Chaotique"/>
        <s v="Loyal"/>
        <s v="Neutre"/>
      </sharedItems>
    </cacheField>
    <cacheField name="Magie" numFmtId="0">
      <sharedItems containsSemiMixedTypes="0" containsString="0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s v="Onimee"/>
    <s v="12 - "/>
    <n v="12"/>
    <m/>
    <s v="0 - "/>
    <n v="0"/>
    <m/>
    <s v=" - "/>
    <m/>
    <m/>
    <n v="12"/>
    <n v="0"/>
    <n v="-12"/>
    <x v="0"/>
    <s v="Chaotique neutre"/>
    <x v="0"/>
    <x v="0"/>
    <n v="0"/>
  </r>
  <r>
    <s v="Zaliax"/>
    <s v="8 - "/>
    <n v="8"/>
    <m/>
    <s v="0 - "/>
    <n v="0"/>
    <m/>
    <s v=" - "/>
    <m/>
    <m/>
    <n v="8"/>
    <n v="0"/>
    <n v="-8"/>
    <x v="1"/>
    <s v="Loyal mauvais"/>
    <x v="1"/>
    <x v="1"/>
    <n v="0"/>
  </r>
  <r>
    <s v="Doa Tua"/>
    <s v="8 - "/>
    <n v="8"/>
    <m/>
    <s v="0 - "/>
    <n v="0"/>
    <m/>
    <s v=" - "/>
    <m/>
    <m/>
    <n v="8"/>
    <n v="0"/>
    <n v="-8"/>
    <x v="2"/>
    <s v="Neutre mauvais"/>
    <x v="1"/>
    <x v="2"/>
    <n v="0"/>
  </r>
  <r>
    <s v="Thymeïr"/>
    <s v="15 - "/>
    <n v="15"/>
    <m/>
    <s v="3 - "/>
    <n v="3"/>
    <m/>
    <s v=" - "/>
    <m/>
    <m/>
    <n v="18"/>
    <n v="0"/>
    <n v="-18"/>
    <x v="1"/>
    <s v="Chaotique mauvais"/>
    <x v="1"/>
    <x v="0"/>
    <n v="0"/>
  </r>
  <r>
    <s v="Goldreg"/>
    <s v="5 - "/>
    <n v="5"/>
    <m/>
    <s v="3 - "/>
    <n v="3"/>
    <m/>
    <s v=" - "/>
    <m/>
    <m/>
    <n v="8"/>
    <n v="0"/>
    <n v="-8"/>
    <x v="3"/>
    <s v="Loyal mauvais"/>
    <x v="1"/>
    <x v="1"/>
    <n v="0"/>
  </r>
  <r>
    <s v="Incabat"/>
    <s v="15 - "/>
    <n v="15"/>
    <m/>
    <s v="3 - "/>
    <n v="3"/>
    <m/>
    <s v=" - "/>
    <m/>
    <m/>
    <n v="18"/>
    <n v="0"/>
    <n v="-18"/>
    <x v="4"/>
    <s v="Neutre mauvais"/>
    <x v="1"/>
    <x v="2"/>
    <n v="0"/>
  </r>
  <r>
    <s v="Brukaur"/>
    <s v="15 - 30"/>
    <n v="15"/>
    <n v="30"/>
    <s v="3 - 10"/>
    <n v="3"/>
    <n v="10"/>
    <s v="8 - 20"/>
    <n v="8"/>
    <n v="20"/>
    <n v="26"/>
    <n v="60"/>
    <n v="34"/>
    <x v="4"/>
    <s v="Chaotique neutre"/>
    <x v="0"/>
    <x v="0"/>
    <n v="0"/>
  </r>
  <r>
    <s v="Arsinam"/>
    <s v="15 - "/>
    <n v="15"/>
    <m/>
    <s v="5 - "/>
    <n v="5"/>
    <m/>
    <s v=" - "/>
    <m/>
    <m/>
    <n v="20"/>
    <n v="0"/>
    <n v="-20"/>
    <x v="4"/>
    <s v="Chaotique neutre"/>
    <x v="0"/>
    <x v="0"/>
    <n v="0"/>
  </r>
  <r>
    <s v="Jernius"/>
    <s v=" - "/>
    <m/>
    <m/>
    <s v="5 - "/>
    <n v="5"/>
    <m/>
    <s v=" - "/>
    <m/>
    <m/>
    <n v="5"/>
    <n v="0"/>
    <n v="-5"/>
    <x v="5"/>
    <s v="Neutre"/>
    <x v="0"/>
    <x v="2"/>
    <n v="0"/>
  </r>
  <r>
    <s v="Drinbuur"/>
    <s v="12 - "/>
    <n v="12"/>
    <m/>
    <s v="8 - "/>
    <n v="8"/>
    <m/>
    <s v=" - "/>
    <m/>
    <m/>
    <n v="20"/>
    <n v="0"/>
    <n v="-20"/>
    <x v="3"/>
    <s v="Neutre bon"/>
    <x v="2"/>
    <x v="2"/>
    <n v="1"/>
  </r>
  <r>
    <s v="Akkatom"/>
    <s v=" - "/>
    <m/>
    <m/>
    <s v="8 - "/>
    <n v="8"/>
    <m/>
    <s v=" - "/>
    <m/>
    <m/>
    <n v="8"/>
    <n v="0"/>
    <n v="-8"/>
    <x v="1"/>
    <s v="Neutre bon"/>
    <x v="2"/>
    <x v="2"/>
    <n v="1"/>
  </r>
  <r>
    <s v="Rudnard"/>
    <s v=" - "/>
    <m/>
    <m/>
    <s v="8 - 25"/>
    <n v="8"/>
    <n v="25"/>
    <s v=" - "/>
    <m/>
    <m/>
    <n v="8"/>
    <n v="25"/>
    <n v="17"/>
    <x v="0"/>
    <s v="Chaotique bon"/>
    <x v="2"/>
    <x v="0"/>
    <n v="1"/>
  </r>
  <r>
    <s v="Qua'faltar"/>
    <s v=" - "/>
    <m/>
    <m/>
    <s v="8 - "/>
    <n v="8"/>
    <m/>
    <s v=" - "/>
    <m/>
    <m/>
    <n v="8"/>
    <n v="0"/>
    <n v="-8"/>
    <x v="3"/>
    <s v="Chaotique mauvais"/>
    <x v="1"/>
    <x v="0"/>
    <n v="1"/>
  </r>
  <r>
    <s v="Shlahog"/>
    <s v=" - "/>
    <m/>
    <m/>
    <s v="8 - "/>
    <n v="8"/>
    <m/>
    <s v=" - "/>
    <m/>
    <m/>
    <n v="8"/>
    <n v="0"/>
    <n v="-8"/>
    <x v="1"/>
    <s v="Chaotique mauvais"/>
    <x v="1"/>
    <x v="0"/>
    <n v="1"/>
  </r>
  <r>
    <s v="Urdi'rik"/>
    <s v=" - "/>
    <m/>
    <m/>
    <s v="8 - "/>
    <n v="8"/>
    <m/>
    <s v=" - "/>
    <m/>
    <m/>
    <n v="8"/>
    <n v="0"/>
    <n v="-8"/>
    <x v="4"/>
    <s v="Loyal mauvais"/>
    <x v="1"/>
    <x v="1"/>
    <n v="1"/>
  </r>
  <r>
    <s v="Calderan"/>
    <s v=" - "/>
    <m/>
    <m/>
    <s v="8 - "/>
    <n v="8"/>
    <m/>
    <s v=" - "/>
    <m/>
    <m/>
    <n v="8"/>
    <n v="0"/>
    <n v="-8"/>
    <x v="6"/>
    <s v="Loyal neutre"/>
    <x v="0"/>
    <x v="1"/>
    <n v="1"/>
  </r>
  <r>
    <s v="Nigiak"/>
    <s v=" - "/>
    <m/>
    <m/>
    <s v="8 - "/>
    <n v="8"/>
    <m/>
    <s v=" - "/>
    <m/>
    <m/>
    <n v="8"/>
    <n v="0"/>
    <n v="-8"/>
    <x v="2"/>
    <s v="Loyal neutre"/>
    <x v="0"/>
    <x v="1"/>
    <n v="1"/>
  </r>
  <r>
    <s v="Yinkovn"/>
    <s v=" - "/>
    <m/>
    <m/>
    <s v="8 - "/>
    <n v="8"/>
    <m/>
    <s v=" - "/>
    <m/>
    <m/>
    <n v="8"/>
    <n v="0"/>
    <n v="-8"/>
    <x v="3"/>
    <s v="Neutre"/>
    <x v="0"/>
    <x v="2"/>
    <n v="1"/>
  </r>
  <r>
    <s v="Asnol"/>
    <s v=" - "/>
    <m/>
    <m/>
    <s v="8 - "/>
    <n v="8"/>
    <m/>
    <s v=" - "/>
    <m/>
    <m/>
    <n v="8"/>
    <n v="0"/>
    <n v="-8"/>
    <x v="6"/>
    <s v="Neutre mauvais"/>
    <x v="1"/>
    <x v="2"/>
    <n v="1"/>
  </r>
  <r>
    <s v="Digride"/>
    <s v="10 - 20"/>
    <n v="10"/>
    <n v="20"/>
    <s v="8 - 20"/>
    <n v="8"/>
    <n v="20"/>
    <s v="12 - 25"/>
    <n v="12"/>
    <n v="25"/>
    <n v="30"/>
    <n v="65"/>
    <n v="35"/>
    <x v="0"/>
    <s v="Neutre mauvais"/>
    <x v="1"/>
    <x v="2"/>
    <n v="1"/>
  </r>
  <r>
    <s v="Promolide"/>
    <s v=" - "/>
    <m/>
    <m/>
    <s v="10 - "/>
    <n v="10"/>
    <m/>
    <s v=" - "/>
    <m/>
    <m/>
    <n v="10"/>
    <n v="0"/>
    <n v="-10"/>
    <x v="4"/>
    <s v="Chaotique mauvais"/>
    <x v="1"/>
    <x v="0"/>
    <n v="1"/>
  </r>
  <r>
    <s v="Beth'oit"/>
    <s v=" - "/>
    <m/>
    <m/>
    <s v="10 - "/>
    <n v="10"/>
    <m/>
    <s v=" - "/>
    <m/>
    <m/>
    <n v="10"/>
    <n v="0"/>
    <n v="-10"/>
    <x v="2"/>
    <s v="Loyal bon"/>
    <x v="2"/>
    <x v="1"/>
    <n v="1"/>
  </r>
  <r>
    <s v="Miador"/>
    <s v=" - "/>
    <m/>
    <m/>
    <s v="10 - "/>
    <n v="10"/>
    <m/>
    <s v=" - "/>
    <m/>
    <m/>
    <n v="10"/>
    <n v="0"/>
    <n v="-10"/>
    <x v="0"/>
    <s v="Loyal neutre"/>
    <x v="0"/>
    <x v="1"/>
    <n v="1"/>
  </r>
  <r>
    <s v="Hashura"/>
    <s v=" - "/>
    <m/>
    <m/>
    <s v="10 - "/>
    <n v="10"/>
    <m/>
    <s v=" - "/>
    <m/>
    <m/>
    <n v="10"/>
    <n v="0"/>
    <n v="-10"/>
    <x v="2"/>
    <s v="Neutre"/>
    <x v="0"/>
    <x v="2"/>
    <n v="1"/>
  </r>
  <r>
    <s v="Nyelis"/>
    <s v=" - "/>
    <m/>
    <m/>
    <s v="10 - "/>
    <n v="10"/>
    <m/>
    <s v=" - "/>
    <m/>
    <m/>
    <n v="10"/>
    <n v="0"/>
    <n v="-10"/>
    <x v="5"/>
    <s v="Neutre"/>
    <x v="0"/>
    <x v="2"/>
    <n v="1"/>
  </r>
  <r>
    <s v="Kronian"/>
    <s v=" - "/>
    <m/>
    <m/>
    <s v="10 - "/>
    <n v="10"/>
    <m/>
    <s v=" - "/>
    <m/>
    <m/>
    <n v="10"/>
    <n v="0"/>
    <n v="-10"/>
    <x v="3"/>
    <s v="Neutre mauvais"/>
    <x v="1"/>
    <x v="2"/>
    <n v="1"/>
  </r>
  <r>
    <s v="Othompa"/>
    <s v=" - "/>
    <m/>
    <m/>
    <s v="10 - "/>
    <n v="10"/>
    <m/>
    <s v=" - "/>
    <m/>
    <m/>
    <n v="10"/>
    <n v="0"/>
    <n v="-10"/>
    <x v="3"/>
    <s v="Neutre mauvais"/>
    <x v="1"/>
    <x v="2"/>
    <n v="1"/>
  </r>
  <r>
    <s v="Shelfine"/>
    <s v=" - "/>
    <m/>
    <m/>
    <s v="12 - "/>
    <n v="12"/>
    <m/>
    <s v=" - "/>
    <m/>
    <m/>
    <n v="12"/>
    <n v="0"/>
    <n v="-12"/>
    <x v="5"/>
    <s v="Chaotique bon"/>
    <x v="2"/>
    <x v="0"/>
    <n v="1"/>
  </r>
  <r>
    <s v="Zeniom"/>
    <s v=" - "/>
    <m/>
    <m/>
    <s v="12 - "/>
    <n v="12"/>
    <m/>
    <s v=" - "/>
    <m/>
    <m/>
    <n v="12"/>
    <n v="0"/>
    <n v="-12"/>
    <x v="2"/>
    <s v="Chaotique neutre"/>
    <x v="0"/>
    <x v="0"/>
    <n v="1"/>
  </r>
  <r>
    <s v="Ka Bii"/>
    <s v=" - "/>
    <m/>
    <m/>
    <s v="12 - "/>
    <n v="12"/>
    <m/>
    <s v=" - "/>
    <m/>
    <m/>
    <n v="12"/>
    <n v="0"/>
    <n v="-12"/>
    <x v="5"/>
    <s v="Loyal bon"/>
    <x v="2"/>
    <x v="1"/>
    <n v="1"/>
  </r>
  <r>
    <s v="Vadeaxil"/>
    <s v=" - "/>
    <m/>
    <m/>
    <s v="12 - "/>
    <n v="12"/>
    <m/>
    <s v=" - "/>
    <m/>
    <m/>
    <n v="12"/>
    <n v="0"/>
    <n v="-12"/>
    <x v="1"/>
    <s v="Neutre"/>
    <x v="0"/>
    <x v="2"/>
    <n v="1"/>
  </r>
  <r>
    <s v="Mul'dekar"/>
    <s v=" - "/>
    <m/>
    <m/>
    <s v="12 - "/>
    <n v="12"/>
    <m/>
    <s v=" - "/>
    <m/>
    <m/>
    <n v="12"/>
    <n v="0"/>
    <n v="-12"/>
    <x v="5"/>
    <s v="Neutre mauvais"/>
    <x v="1"/>
    <x v="2"/>
    <n v="1"/>
  </r>
  <r>
    <s v="Lonidae"/>
    <s v=" - "/>
    <m/>
    <m/>
    <s v="15 - "/>
    <n v="15"/>
    <m/>
    <s v=" - "/>
    <m/>
    <m/>
    <n v="15"/>
    <n v="0"/>
    <n v="-15"/>
    <x v="6"/>
    <s v="Chaotique mauvais"/>
    <x v="1"/>
    <x v="0"/>
    <n v="1"/>
  </r>
  <r>
    <s v="Kuelid"/>
    <s v=" - "/>
    <m/>
    <m/>
    <s v="15 - "/>
    <n v="15"/>
    <m/>
    <s v=" - "/>
    <m/>
    <m/>
    <n v="15"/>
    <n v="0"/>
    <n v="-15"/>
    <x v="6"/>
    <s v="Loyal neutre"/>
    <x v="0"/>
    <x v="1"/>
    <n v="1"/>
  </r>
  <r>
    <s v="Franeline"/>
    <s v=" - "/>
    <m/>
    <m/>
    <s v="15 - "/>
    <n v="15"/>
    <m/>
    <s v=" - "/>
    <m/>
    <m/>
    <n v="15"/>
    <n v="0"/>
    <n v="-15"/>
    <x v="0"/>
    <s v="Neutre"/>
    <x v="0"/>
    <x v="2"/>
    <n v="1"/>
  </r>
  <r>
    <s v="Anseilid"/>
    <s v="3 - 10"/>
    <n v="3"/>
    <n v="10"/>
    <s v="15 - 30"/>
    <n v="15"/>
    <n v="30"/>
    <s v="10 - 18"/>
    <n v="10"/>
    <n v="18"/>
    <n v="28"/>
    <n v="58"/>
    <n v="30"/>
    <x v="6"/>
    <s v="Chaotique neutre"/>
    <x v="0"/>
    <x v="0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81A93E-4511-4704-AE91-88657B8D22FB}" name="Tableau croisé dynamique2" cacheId="31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12:I20" firstHeaderRow="1" firstDataRow="2" firstDataCol="1"/>
  <pivotFields count="18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5"/>
        <item x="0"/>
        <item x="2"/>
        <item x="1"/>
        <item x="6"/>
        <item x="3"/>
        <item x="4"/>
        <item m="1" x="7"/>
        <item t="default"/>
      </items>
    </pivotField>
    <pivotField showAll="0"/>
    <pivotField showAll="0"/>
    <pivotField axis="axisCol" showAll="0">
      <items count="4">
        <item x="0"/>
        <item x="1"/>
        <item x="2"/>
        <item t="default"/>
      </items>
    </pivotField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6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C6617F-C419-4FE7-B60A-622D233F1B6C}" name="Tableau croisé dynamique1" cacheId="31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2:I10" firstHeaderRow="1" firstDataRow="2" firstDataCol="1"/>
  <pivotFields count="18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5"/>
        <item x="0"/>
        <item x="2"/>
        <item x="1"/>
        <item x="6"/>
        <item x="3"/>
        <item x="4"/>
        <item m="1" x="7"/>
        <item t="default"/>
      </items>
    </pivotField>
    <pivotField showAll="0"/>
    <pivotField axis="axisCol" showAll="0">
      <items count="4">
        <item x="2"/>
        <item x="1"/>
        <item x="0"/>
        <item t="default"/>
      </items>
    </pivotField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5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A04A0B-99E5-47DA-B000-A1B3A2D4D345}" name="Tableau2" displayName="Tableau2" ref="A1:U37" totalsRowShown="0">
  <autoFilter ref="A1:U37" xr:uid="{A8A04A0B-99E5-47DA-B000-A1B3A2D4D345}"/>
  <sortState xmlns:xlrd2="http://schemas.microsoft.com/office/spreadsheetml/2017/richdata2" ref="A2:U37">
    <sortCondition ref="K1:K37"/>
  </sortState>
  <tableColumns count="21">
    <tableColumn id="1" xr3:uid="{10AA4F7D-76DE-41B1-9659-A5044CC3E4A8}" name="Aspect" dataDxfId="20"/>
    <tableColumn id="2" xr3:uid="{A898C7BE-0FDD-402E-8922-35117279222B}" name="Physique" dataDxfId="19"/>
    <tableColumn id="9" xr3:uid="{4FA83F93-4573-46A4-A19C-C295E9738AAD}" name="Phy min" dataDxfId="18"/>
    <tableColumn id="10" xr3:uid="{07F11B45-75A0-4510-8871-7C335ECB6F0B}" name="Phy max" dataDxfId="17"/>
    <tableColumn id="3" xr3:uid="{ECF1AC7E-5D81-4093-B97F-5FBA02904983}" name="Mental" dataDxfId="16"/>
    <tableColumn id="11" xr3:uid="{06B7B755-4C10-4F66-8420-171C42244C9F}" name="Men min" dataDxfId="15"/>
    <tableColumn id="12" xr3:uid="{56B7A928-DE0B-4793-AB8D-3D4BBC8386A7}" name="Men max" dataDxfId="14"/>
    <tableColumn id="4" xr3:uid="{EF26AB02-1B3F-4F8C-8E02-B3283BCEA532}" name="Charactère" dataDxfId="13"/>
    <tableColumn id="13" xr3:uid="{2C1AE653-EA96-4993-9C14-572C1613BF63}" name="Cha min" dataDxfId="12"/>
    <tableColumn id="14" xr3:uid="{8B692861-3522-43B8-B94A-1BE0E42BF8E6}" name="Cha max" dataDxfId="11"/>
    <tableColumn id="15" xr3:uid="{89823BD5-E43B-4180-864D-11077269E43E}" name="Min stats" dataDxfId="10">
      <calculatedColumnFormula>Tableau2[[#This Row],[Phy min]]+Tableau2[[#This Row],[Men min]]+Tableau2[[#This Row],[Cha min]]</calculatedColumnFormula>
    </tableColumn>
    <tableColumn id="18" xr3:uid="{B62942C4-D64A-480D-A6F6-64144A046503}" name="Max stats" dataDxfId="6">
      <calculatedColumnFormula>Tableau2[[#This Row],[Phy max]]+Tableau2[[#This Row],[Men max]]+Tableau2[[#This Row],[Cha max]]</calculatedColumnFormula>
    </tableColumn>
    <tableColumn id="19" xr3:uid="{F9A74C34-ACD5-4533-A2C1-D1E128D13E9B}" name="Range stats" dataDxfId="0">
      <calculatedColumnFormula>MAX(Tableau2[[#This Row],[Max stats]]-Tableau2[[#This Row],[Min stats]],0)</calculatedColumnFormula>
    </tableColumn>
    <tableColumn id="17" xr3:uid="{80B84368-B714-432D-BEE5-BA817EC9B9D3}" name="Stat favorite" dataDxfId="9"/>
    <tableColumn id="5" xr3:uid="{E635B0CD-5AA8-4957-9B73-A5F50895628E}" name="Alignement" dataDxfId="8"/>
    <tableColumn id="6" xr3:uid="{D99196F6-6064-42E9-9F14-08286C5F2CBF}" name="Bonté" dataDxfId="7">
      <calculatedColumnFormula>IFERROR(VLOOKUP(Tableau2[[#This Row],[Alignement]],Alignement[],2,FALSE),"")</calculatedColumnFormula>
    </tableColumn>
    <tableColumn id="7" xr3:uid="{A6CC1D48-401A-4CA9-83BC-5484361F3C75}" name="Loyauté" dataDxfId="5">
      <calculatedColumnFormula>IFERROR(VLOOKUP(Tableau2[[#This Row],[Alignement]],Alignement[],3,FALSE),"")</calculatedColumnFormula>
    </tableColumn>
    <tableColumn id="8" xr3:uid="{A8B45E07-B4D8-4E13-9202-FDC79F47976E}" name="Magie" dataDxfId="1">
      <calculatedColumnFormula>IF(Tableau2[[#This Row],[Men min]]&lt;8,1,2)</calculatedColumnFormula>
    </tableColumn>
    <tableColumn id="22" xr3:uid="{4632161D-13FF-47A8-90DF-3FE97EE6945D}" name="Min" dataDxfId="4">
      <calculatedColumnFormula>IF(OR(AND(Tableau2[[#This Row],[Min stats]]&lt;35,Tableau2[[#This Row],[Loyauté]]&lt;&gt;"Loyal"),AND(Tableau2[[#This Row],[Min stats]]&lt;25,Tableau2[[#This Row],[Loyauté]]="Loyal")),1,0)</calculatedColumnFormula>
    </tableColumn>
    <tableColumn id="23" xr3:uid="{4D712596-335A-4F29-BEF3-2221C8A7A116}" name="Max" dataDxfId="2">
      <calculatedColumnFormula>IF(Tableau2[[#This Row],[Max stats]]&gt;43,1,0)</calculatedColumnFormula>
    </tableColumn>
    <tableColumn id="21" xr3:uid="{93200CD2-1E11-4826-BAC0-0638EE02B6DE}" name="Range" dataDxfId="3">
      <calculatedColumnFormula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0FEC02-33C3-4EBB-BC23-9B9D8A703CE6}" name="Alignement" displayName="Alignement" ref="A1:C10" totalsRowShown="0">
  <autoFilter ref="A1:C10" xr:uid="{320FEC02-33C3-4EBB-BC23-9B9D8A703CE6}"/>
  <tableColumns count="3">
    <tableColumn id="1" xr3:uid="{02C13EDA-ADD2-419A-BDF3-FF680D48F9A5}" name="Alignement"/>
    <tableColumn id="2" xr3:uid="{9B21C42D-A038-4BE0-9A51-2B2420EB9A46}" name="Bonté"/>
    <tableColumn id="3" xr3:uid="{86626128-844F-4074-A925-E2AF354E9683}" name="Loyauté"/>
  </tableColumns>
  <tableStyleInfo name="Neutre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81C37-2AEE-4DB8-87EA-2D42CAB55EFD}">
  <dimension ref="B2:I20"/>
  <sheetViews>
    <sheetView showGridLines="0" workbookViewId="0">
      <selection activeCell="L10" sqref="L10"/>
    </sheetView>
  </sheetViews>
  <sheetFormatPr baseColWidth="10" defaultRowHeight="15" x14ac:dyDescent="0.25"/>
  <cols>
    <col min="2" max="2" width="13.7109375" customWidth="1"/>
    <col min="3" max="3" width="6.85546875" customWidth="1"/>
    <col min="4" max="4" width="6.140625" bestFit="1" customWidth="1"/>
    <col min="5" max="5" width="12.5703125" bestFit="1" customWidth="1"/>
    <col min="6" max="7" width="12.42578125" bestFit="1" customWidth="1"/>
    <col min="8" max="8" width="8.42578125" bestFit="1" customWidth="1"/>
    <col min="9" max="9" width="7.28515625" bestFit="1" customWidth="1"/>
    <col min="10" max="10" width="12.5703125" bestFit="1" customWidth="1"/>
    <col min="11" max="11" width="18.140625" bestFit="1" customWidth="1"/>
    <col min="12" max="12" width="20.140625" bestFit="1" customWidth="1"/>
    <col min="13" max="13" width="23.140625" bestFit="1" customWidth="1"/>
    <col min="14" max="14" width="15.5703125" bestFit="1" customWidth="1"/>
    <col min="15" max="15" width="17.7109375" bestFit="1" customWidth="1"/>
    <col min="16" max="16" width="20.5703125" bestFit="1" customWidth="1"/>
    <col min="17" max="17" width="13.140625" bestFit="1" customWidth="1"/>
    <col min="18" max="18" width="15.140625" bestFit="1" customWidth="1"/>
    <col min="19" max="19" width="18.140625" bestFit="1" customWidth="1"/>
    <col min="20" max="20" width="19" bestFit="1" customWidth="1"/>
    <col min="21" max="21" width="21" bestFit="1" customWidth="1"/>
    <col min="22" max="22" width="24" bestFit="1" customWidth="1"/>
    <col min="23" max="23" width="18.140625" bestFit="1" customWidth="1"/>
    <col min="24" max="24" width="20.140625" bestFit="1" customWidth="1"/>
    <col min="25" max="25" width="23.140625" bestFit="1" customWidth="1"/>
    <col min="26" max="26" width="13.140625" bestFit="1" customWidth="1"/>
    <col min="27" max="27" width="15.140625" bestFit="1" customWidth="1"/>
    <col min="28" max="28" width="18.140625" bestFit="1" customWidth="1"/>
    <col min="29" max="29" width="19" bestFit="1" customWidth="1"/>
    <col min="30" max="30" width="21" bestFit="1" customWidth="1"/>
    <col min="31" max="31" width="24" bestFit="1" customWidth="1"/>
    <col min="32" max="32" width="19" bestFit="1" customWidth="1"/>
    <col min="33" max="33" width="21" bestFit="1" customWidth="1"/>
    <col min="34" max="34" width="24" bestFit="1" customWidth="1"/>
    <col min="35" max="35" width="18.140625" bestFit="1" customWidth="1"/>
    <col min="36" max="36" width="20.140625" bestFit="1" customWidth="1"/>
    <col min="37" max="37" width="23.140625" bestFit="1" customWidth="1"/>
  </cols>
  <sheetData>
    <row r="2" spans="2:9" ht="15.75" thickBot="1" x14ac:dyDescent="0.3">
      <c r="F2" s="11" t="s">
        <v>74</v>
      </c>
      <c r="G2" s="11" t="s">
        <v>75</v>
      </c>
    </row>
    <row r="3" spans="2:9" x14ac:dyDescent="0.25">
      <c r="B3" s="6" t="s">
        <v>15</v>
      </c>
      <c r="C3" s="7">
        <f>COUNTIF(Tableau2[Bonté],"Bon")</f>
        <v>6</v>
      </c>
      <c r="D3" s="8">
        <f>C3/SUM($C$3:$C$5)</f>
        <v>0.16666666666666666</v>
      </c>
      <c r="F3" s="11" t="s">
        <v>75</v>
      </c>
      <c r="G3" t="s">
        <v>15</v>
      </c>
      <c r="H3" t="s">
        <v>14</v>
      </c>
      <c r="I3" t="s">
        <v>5</v>
      </c>
    </row>
    <row r="4" spans="2:9" x14ac:dyDescent="0.25">
      <c r="B4" s="3" t="s">
        <v>5</v>
      </c>
      <c r="C4">
        <f>COUNTIF(Tableau2[Bonté],"Neutre")</f>
        <v>15</v>
      </c>
      <c r="D4" s="9">
        <f>C4/SUM($C$3:$C$5)</f>
        <v>0.41666666666666669</v>
      </c>
      <c r="F4" s="12" t="s">
        <v>42</v>
      </c>
      <c r="G4" s="13">
        <v>2</v>
      </c>
      <c r="H4" s="13">
        <v>1</v>
      </c>
      <c r="I4" s="13">
        <v>2</v>
      </c>
    </row>
    <row r="5" spans="2:9" ht="15.75" thickBot="1" x14ac:dyDescent="0.3">
      <c r="B5" s="4" t="s">
        <v>14</v>
      </c>
      <c r="C5" s="5">
        <f>COUNTIF(Tableau2[Bonté],"Mauvais")</f>
        <v>15</v>
      </c>
      <c r="D5" s="10">
        <f>C5/SUM($C$3:$C$5)</f>
        <v>0.41666666666666669</v>
      </c>
      <c r="F5" s="12" t="s">
        <v>39</v>
      </c>
      <c r="G5" s="13">
        <v>1</v>
      </c>
      <c r="H5" s="13">
        <v>1</v>
      </c>
      <c r="I5" s="13">
        <v>3</v>
      </c>
    </row>
    <row r="6" spans="2:9" ht="15.75" thickBot="1" x14ac:dyDescent="0.3">
      <c r="F6" s="12" t="s">
        <v>43</v>
      </c>
      <c r="G6" s="13">
        <v>1</v>
      </c>
      <c r="H6" s="13">
        <v>1</v>
      </c>
      <c r="I6" s="13">
        <v>3</v>
      </c>
    </row>
    <row r="7" spans="2:9" x14ac:dyDescent="0.25">
      <c r="B7" s="6" t="s">
        <v>12</v>
      </c>
      <c r="C7" s="7">
        <f>COUNTIF(Tableau2[Loyauté],"Loyal")</f>
        <v>9</v>
      </c>
      <c r="D7" s="8">
        <f>C7/SUM($C$7:$C$9)</f>
        <v>0.25</v>
      </c>
      <c r="F7" s="12" t="s">
        <v>38</v>
      </c>
      <c r="G7" s="13">
        <v>1</v>
      </c>
      <c r="H7" s="13">
        <v>3</v>
      </c>
      <c r="I7" s="13">
        <v>1</v>
      </c>
    </row>
    <row r="8" spans="2:9" x14ac:dyDescent="0.25">
      <c r="B8" s="3" t="s">
        <v>5</v>
      </c>
      <c r="C8">
        <f>COUNTIF(Tableau2[Loyauté],"Neutre")</f>
        <v>15</v>
      </c>
      <c r="D8" s="9">
        <f>C8/SUM($C$7:$C$9)</f>
        <v>0.41666666666666669</v>
      </c>
      <c r="F8" s="12" t="s">
        <v>41</v>
      </c>
      <c r="G8" s="13"/>
      <c r="H8" s="13">
        <v>2</v>
      </c>
      <c r="I8" s="13">
        <v>3</v>
      </c>
    </row>
    <row r="9" spans="2:9" ht="15.75" thickBot="1" x14ac:dyDescent="0.3">
      <c r="B9" s="4" t="s">
        <v>13</v>
      </c>
      <c r="C9" s="5">
        <f>COUNTIF(Tableau2[Loyauté],"Chaotique")</f>
        <v>12</v>
      </c>
      <c r="D9" s="10">
        <f>C9/SUM($C$7:$C$9)</f>
        <v>0.33333333333333331</v>
      </c>
      <c r="F9" s="12" t="s">
        <v>44</v>
      </c>
      <c r="G9" s="13">
        <v>1</v>
      </c>
      <c r="H9" s="13">
        <v>4</v>
      </c>
      <c r="I9" s="13">
        <v>1</v>
      </c>
    </row>
    <row r="10" spans="2:9" ht="15.75" thickBot="1" x14ac:dyDescent="0.3">
      <c r="F10" s="12" t="s">
        <v>40</v>
      </c>
      <c r="G10" s="13"/>
      <c r="H10" s="13">
        <v>3</v>
      </c>
      <c r="I10" s="13">
        <v>2</v>
      </c>
    </row>
    <row r="11" spans="2:9" x14ac:dyDescent="0.25">
      <c r="B11" s="6" t="s">
        <v>38</v>
      </c>
      <c r="C11" s="7">
        <f>COUNTIF(Tableau2[Stat favorite],"Force")</f>
        <v>5</v>
      </c>
      <c r="D11" s="8">
        <f t="shared" ref="D11:D16" si="0">C11/SUM($C$11:$C$17)</f>
        <v>0.1388888888888889</v>
      </c>
    </row>
    <row r="12" spans="2:9" x14ac:dyDescent="0.25">
      <c r="B12" s="3" t="s">
        <v>39</v>
      </c>
      <c r="C12">
        <f>COUNTIF(Tableau2[Stat favorite],"Dextérité")</f>
        <v>5</v>
      </c>
      <c r="D12" s="9">
        <f t="shared" si="0"/>
        <v>0.1388888888888889</v>
      </c>
      <c r="F12" s="11" t="s">
        <v>74</v>
      </c>
      <c r="G12" s="11" t="s">
        <v>75</v>
      </c>
    </row>
    <row r="13" spans="2:9" x14ac:dyDescent="0.25">
      <c r="B13" s="3" t="s">
        <v>40</v>
      </c>
      <c r="C13">
        <f>COUNTIF(Tableau2[Stat favorite],"Résilience")</f>
        <v>5</v>
      </c>
      <c r="D13" s="9">
        <f t="shared" si="0"/>
        <v>0.1388888888888889</v>
      </c>
      <c r="F13" s="11" t="s">
        <v>75</v>
      </c>
      <c r="G13" t="s">
        <v>13</v>
      </c>
      <c r="H13" t="s">
        <v>12</v>
      </c>
      <c r="I13" t="s">
        <v>5</v>
      </c>
    </row>
    <row r="14" spans="2:9" x14ac:dyDescent="0.25">
      <c r="B14" s="3" t="s">
        <v>41</v>
      </c>
      <c r="C14">
        <f>COUNTIF(Tableau2[Stat favorite],"Intelligence")</f>
        <v>5</v>
      </c>
      <c r="D14" s="9">
        <f t="shared" si="0"/>
        <v>0.1388888888888889</v>
      </c>
      <c r="F14" s="12" t="s">
        <v>42</v>
      </c>
      <c r="G14" s="13">
        <v>1</v>
      </c>
      <c r="H14" s="13">
        <v>1</v>
      </c>
      <c r="I14" s="13">
        <v>3</v>
      </c>
    </row>
    <row r="15" spans="2:9" x14ac:dyDescent="0.25">
      <c r="B15" s="3" t="s">
        <v>42</v>
      </c>
      <c r="C15">
        <f>COUNTIF(Tableau2[Stat favorite],"Curiosité")</f>
        <v>5</v>
      </c>
      <c r="D15" s="9">
        <f t="shared" si="0"/>
        <v>0.1388888888888889</v>
      </c>
      <c r="F15" s="12" t="s">
        <v>39</v>
      </c>
      <c r="G15" s="13">
        <v>2</v>
      </c>
      <c r="H15" s="13">
        <v>1</v>
      </c>
      <c r="I15" s="13">
        <v>2</v>
      </c>
    </row>
    <row r="16" spans="2:9" x14ac:dyDescent="0.25">
      <c r="B16" s="3" t="s">
        <v>43</v>
      </c>
      <c r="C16">
        <f>COUNTIF(Tableau2[Stat favorite],"Éloquence")</f>
        <v>5</v>
      </c>
      <c r="D16" s="9">
        <f t="shared" si="0"/>
        <v>0.1388888888888889</v>
      </c>
      <c r="F16" s="12" t="s">
        <v>43</v>
      </c>
      <c r="G16" s="13">
        <v>1</v>
      </c>
      <c r="H16" s="13">
        <v>2</v>
      </c>
      <c r="I16" s="13">
        <v>2</v>
      </c>
    </row>
    <row r="17" spans="2:9" ht="15.75" thickBot="1" x14ac:dyDescent="0.3">
      <c r="B17" s="4" t="s">
        <v>44</v>
      </c>
      <c r="C17" s="5">
        <f>COUNTIF(Tableau2[Stat favorite],"Psyché")</f>
        <v>6</v>
      </c>
      <c r="D17" s="10">
        <f>C17/SUM($C$11:$C$17)</f>
        <v>0.16666666666666666</v>
      </c>
      <c r="F17" s="12" t="s">
        <v>38</v>
      </c>
      <c r="G17" s="13">
        <v>2</v>
      </c>
      <c r="H17" s="13">
        <v>1</v>
      </c>
      <c r="I17" s="13">
        <v>2</v>
      </c>
    </row>
    <row r="18" spans="2:9" x14ac:dyDescent="0.25">
      <c r="F18" s="12" t="s">
        <v>41</v>
      </c>
      <c r="G18" s="13">
        <v>2</v>
      </c>
      <c r="H18" s="13">
        <v>2</v>
      </c>
      <c r="I18" s="13">
        <v>1</v>
      </c>
    </row>
    <row r="19" spans="2:9" x14ac:dyDescent="0.25">
      <c r="F19" s="12" t="s">
        <v>44</v>
      </c>
      <c r="G19" s="13">
        <v>1</v>
      </c>
      <c r="H19" s="13">
        <v>1</v>
      </c>
      <c r="I19" s="13">
        <v>4</v>
      </c>
    </row>
    <row r="20" spans="2:9" x14ac:dyDescent="0.25">
      <c r="F20" s="12" t="s">
        <v>40</v>
      </c>
      <c r="G20" s="13">
        <v>3</v>
      </c>
      <c r="H20" s="13">
        <v>1</v>
      </c>
      <c r="I20" s="1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41D26-0B6C-4A72-A1A8-CF318E525015}">
  <dimension ref="A1:U37"/>
  <sheetViews>
    <sheetView tabSelected="1" workbookViewId="0">
      <selection activeCell="Z10" sqref="Z10"/>
    </sheetView>
  </sheetViews>
  <sheetFormatPr baseColWidth="10" defaultRowHeight="15" x14ac:dyDescent="0.25"/>
  <cols>
    <col min="1" max="1" width="15.140625" customWidth="1"/>
    <col min="2" max="2" width="11.42578125" hidden="1" customWidth="1"/>
    <col min="3" max="4" width="12.140625" customWidth="1"/>
    <col min="5" max="5" width="9.7109375" hidden="1" customWidth="1"/>
    <col min="8" max="8" width="12.85546875" hidden="1" customWidth="1"/>
    <col min="9" max="10" width="13.5703125" customWidth="1"/>
    <col min="11" max="11" width="11.42578125" bestFit="1" customWidth="1"/>
    <col min="12" max="12" width="11.7109375" hidden="1" customWidth="1"/>
    <col min="13" max="13" width="13.28515625" hidden="1" customWidth="1"/>
    <col min="14" max="14" width="11.85546875" customWidth="1"/>
    <col min="15" max="15" width="18.5703125" customWidth="1"/>
    <col min="16" max="16" width="8.5703125" hidden="1" customWidth="1"/>
    <col min="17" max="17" width="10.28515625" hidden="1" customWidth="1"/>
    <col min="18" max="21" width="2.85546875" customWidth="1"/>
  </cols>
  <sheetData>
    <row r="1" spans="1:21" x14ac:dyDescent="0.25">
      <c r="A1" t="s">
        <v>32</v>
      </c>
      <c r="B1" t="s">
        <v>33</v>
      </c>
      <c r="C1" t="s">
        <v>67</v>
      </c>
      <c r="D1" t="s">
        <v>27</v>
      </c>
      <c r="E1" t="s">
        <v>34</v>
      </c>
      <c r="F1" t="s">
        <v>28</v>
      </c>
      <c r="G1" t="s">
        <v>29</v>
      </c>
      <c r="H1" t="s">
        <v>35</v>
      </c>
      <c r="I1" t="s">
        <v>30</v>
      </c>
      <c r="J1" t="s">
        <v>31</v>
      </c>
      <c r="K1" t="s">
        <v>68</v>
      </c>
      <c r="L1" t="s">
        <v>72</v>
      </c>
      <c r="M1" t="s">
        <v>73</v>
      </c>
      <c r="N1" t="s">
        <v>37</v>
      </c>
      <c r="O1" t="s">
        <v>3</v>
      </c>
      <c r="P1" t="s">
        <v>1</v>
      </c>
      <c r="Q1" t="s">
        <v>2</v>
      </c>
      <c r="R1" t="s">
        <v>36</v>
      </c>
      <c r="S1" t="s">
        <v>77</v>
      </c>
      <c r="T1" t="s">
        <v>78</v>
      </c>
      <c r="U1" t="s">
        <v>76</v>
      </c>
    </row>
    <row r="2" spans="1:21" x14ac:dyDescent="0.25">
      <c r="A2" s="1" t="s">
        <v>65</v>
      </c>
      <c r="B2" t="str">
        <f>Tableau2[[#This Row],[Phy min]] &amp; " - " &amp; Tableau2[[#This Row],[Phy max]]</f>
        <v xml:space="preserve">5 - </v>
      </c>
      <c r="C2" s="2">
        <v>5</v>
      </c>
      <c r="D2" s="2"/>
      <c r="E2" t="str">
        <f>Tableau2[[#This Row],[Men min]] &amp; " - " &amp; Tableau2[[#This Row],[Men max]]</f>
        <v xml:space="preserve">5 - </v>
      </c>
      <c r="F2" s="2">
        <v>5</v>
      </c>
      <c r="G2" s="2"/>
      <c r="H2" t="str">
        <f>Tableau2[[#This Row],[Cha min]] &amp; " - " &amp; Tableau2[[#This Row],[Cha max]]</f>
        <v xml:space="preserve"> - </v>
      </c>
      <c r="I2" s="2"/>
      <c r="J2" s="2"/>
      <c r="K2" s="2">
        <f>Tableau2[[#This Row],[Phy min]]+Tableau2[[#This Row],[Men min]]+Tableau2[[#This Row],[Cha min]]</f>
        <v>10</v>
      </c>
      <c r="L2" s="2">
        <f>Tableau2[[#This Row],[Phy max]]+Tableau2[[#This Row],[Men max]]+Tableau2[[#This Row],[Cha max]]</f>
        <v>0</v>
      </c>
      <c r="M2" s="2">
        <f>MAX(Tableau2[[#This Row],[Max stats]]-Tableau2[[#This Row],[Min stats]],0)</f>
        <v>0</v>
      </c>
      <c r="N2" s="2" t="s">
        <v>42</v>
      </c>
      <c r="O2" s="1" t="s">
        <v>5</v>
      </c>
      <c r="P2" t="str">
        <f>IFERROR(VLOOKUP(Tableau2[[#This Row],[Alignement]],Alignement[],2,FALSE),"")</f>
        <v>Neutre</v>
      </c>
      <c r="Q2" t="str">
        <f>IFERROR(VLOOKUP(Tableau2[[#This Row],[Alignement]],Alignement[],3,FALSE),"")</f>
        <v>Neutre</v>
      </c>
      <c r="R2" s="14">
        <f>IF(Tableau2[[#This Row],[Men min]]&lt;8,1,2)</f>
        <v>1</v>
      </c>
      <c r="S2" s="14">
        <f>IF(OR(AND(Tableau2[[#This Row],[Min stats]]&lt;35,Tableau2[[#This Row],[Loyauté]]&lt;&gt;"Loyal"),AND(Tableau2[[#This Row],[Min stats]]&lt;25,Tableau2[[#This Row],[Loyauté]]="Loyal")),1,0)</f>
        <v>1</v>
      </c>
      <c r="T2" s="14">
        <f>IF(Tableau2[[#This Row],[Max stats]]&gt;43,1,0)</f>
        <v>0</v>
      </c>
      <c r="U2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3" spans="1:21" x14ac:dyDescent="0.25">
      <c r="A3" s="1" t="s">
        <v>63</v>
      </c>
      <c r="B3" t="str">
        <f>Tableau2[[#This Row],[Phy min]] &amp; " - " &amp; Tableau2[[#This Row],[Phy max]]</f>
        <v xml:space="preserve">8 - </v>
      </c>
      <c r="C3" s="2">
        <v>8</v>
      </c>
      <c r="D3" s="2"/>
      <c r="E3" t="str">
        <f>Tableau2[[#This Row],[Men min]] &amp; " - " &amp; Tableau2[[#This Row],[Men max]]</f>
        <v xml:space="preserve">0 - </v>
      </c>
      <c r="F3" s="2">
        <v>0</v>
      </c>
      <c r="G3" s="2"/>
      <c r="H3" t="str">
        <f>Tableau2[[#This Row],[Cha min]] &amp; " - " &amp; Tableau2[[#This Row],[Cha max]]</f>
        <v xml:space="preserve"> - </v>
      </c>
      <c r="I3" s="2"/>
      <c r="J3" s="2"/>
      <c r="K3" s="2">
        <f>Tableau2[[#This Row],[Phy min]]+Tableau2[[#This Row],[Men min]]+Tableau2[[#This Row],[Cha min]]</f>
        <v>8</v>
      </c>
      <c r="L3" s="2">
        <f>Tableau2[[#This Row],[Phy max]]+Tableau2[[#This Row],[Men max]]+Tableau2[[#This Row],[Cha max]]</f>
        <v>0</v>
      </c>
      <c r="M3" s="2">
        <f>MAX(Tableau2[[#This Row],[Max stats]]-Tableau2[[#This Row],[Min stats]],0)</f>
        <v>0</v>
      </c>
      <c r="N3" s="2" t="s">
        <v>38</v>
      </c>
      <c r="O3" s="1" t="s">
        <v>11</v>
      </c>
      <c r="P3" t="str">
        <f>IFERROR(VLOOKUP(Tableau2[[#This Row],[Alignement]],Alignement[],2,FALSE),"")</f>
        <v>Mauvais</v>
      </c>
      <c r="Q3" t="str">
        <f>IFERROR(VLOOKUP(Tableau2[[#This Row],[Alignement]],Alignement[],3,FALSE),"")</f>
        <v>Loyal</v>
      </c>
      <c r="R3" s="14">
        <f>IF(Tableau2[[#This Row],[Men min]]&lt;8,1,2)</f>
        <v>1</v>
      </c>
      <c r="S3" s="14">
        <f>IF(OR(AND(Tableau2[[#This Row],[Min stats]]&lt;35,Tableau2[[#This Row],[Loyauté]]&lt;&gt;"Loyal"),AND(Tableau2[[#This Row],[Min stats]]&lt;25,Tableau2[[#This Row],[Loyauté]]="Loyal")),1,0)</f>
        <v>1</v>
      </c>
      <c r="T3" s="14">
        <f>IF(Tableau2[[#This Row],[Max stats]]&gt;43,1,0)</f>
        <v>0</v>
      </c>
      <c r="U3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4" spans="1:21" x14ac:dyDescent="0.25">
      <c r="A4" s="1" t="s">
        <v>70</v>
      </c>
      <c r="B4" t="str">
        <f>Tableau2[[#This Row],[Phy min]] &amp; " - " &amp; Tableau2[[#This Row],[Phy max]]</f>
        <v xml:space="preserve">8 - </v>
      </c>
      <c r="C4" s="2">
        <v>8</v>
      </c>
      <c r="D4" s="2"/>
      <c r="E4" t="str">
        <f>Tableau2[[#This Row],[Men min]] &amp; " - " &amp; Tableau2[[#This Row],[Men max]]</f>
        <v xml:space="preserve">0 - </v>
      </c>
      <c r="F4" s="2">
        <v>0</v>
      </c>
      <c r="G4" s="2"/>
      <c r="H4" t="str">
        <f>Tableau2[[#This Row],[Cha min]] &amp; " - " &amp; Tableau2[[#This Row],[Cha max]]</f>
        <v xml:space="preserve"> - </v>
      </c>
      <c r="I4" s="2"/>
      <c r="J4" s="2"/>
      <c r="K4" s="2">
        <f>Tableau2[[#This Row],[Phy min]]+Tableau2[[#This Row],[Men min]]+Tableau2[[#This Row],[Cha min]]</f>
        <v>8</v>
      </c>
      <c r="L4" s="2">
        <f>Tableau2[[#This Row],[Phy max]]+Tableau2[[#This Row],[Men max]]+Tableau2[[#This Row],[Cha max]]</f>
        <v>0</v>
      </c>
      <c r="M4" s="2">
        <f>MAX(Tableau2[[#This Row],[Max stats]]-Tableau2[[#This Row],[Min stats]],0)</f>
        <v>0</v>
      </c>
      <c r="N4" s="2" t="s">
        <v>43</v>
      </c>
      <c r="O4" s="1" t="s">
        <v>0</v>
      </c>
      <c r="P4" t="str">
        <f>IFERROR(VLOOKUP(Tableau2[[#This Row],[Alignement]],Alignement[],2,FALSE),"")</f>
        <v>Mauvais</v>
      </c>
      <c r="Q4" t="str">
        <f>IFERROR(VLOOKUP(Tableau2[[#This Row],[Alignement]],Alignement[],3,FALSE),"")</f>
        <v>Neutre</v>
      </c>
      <c r="R4" s="14">
        <f>IF(Tableau2[[#This Row],[Men min]]&lt;8,1,2)</f>
        <v>1</v>
      </c>
      <c r="S4" s="14">
        <f>IF(OR(AND(Tableau2[[#This Row],[Min stats]]&lt;35,Tableau2[[#This Row],[Loyauté]]&lt;&gt;"Loyal"),AND(Tableau2[[#This Row],[Min stats]]&lt;25,Tableau2[[#This Row],[Loyauté]]="Loyal")),1,0)</f>
        <v>1</v>
      </c>
      <c r="T4" s="14">
        <f>IF(Tableau2[[#This Row],[Max stats]]&gt;43,1,0)</f>
        <v>0</v>
      </c>
      <c r="U4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5" spans="1:21" x14ac:dyDescent="0.25">
      <c r="A5" s="1" t="s">
        <v>22</v>
      </c>
      <c r="B5" t="str">
        <f>Tableau2[[#This Row],[Phy min]] &amp; " - " &amp; Tableau2[[#This Row],[Phy max]]</f>
        <v xml:space="preserve">5 - </v>
      </c>
      <c r="C5" s="2">
        <v>5</v>
      </c>
      <c r="D5" s="2"/>
      <c r="E5" t="str">
        <f>Tableau2[[#This Row],[Men min]] &amp; " - " &amp; Tableau2[[#This Row],[Men max]]</f>
        <v xml:space="preserve">3 - </v>
      </c>
      <c r="F5" s="2">
        <v>3</v>
      </c>
      <c r="G5" s="2"/>
      <c r="H5" t="str">
        <f>Tableau2[[#This Row],[Cha min]] &amp; " - " &amp; Tableau2[[#This Row],[Cha max]]</f>
        <v xml:space="preserve"> - </v>
      </c>
      <c r="I5" s="2"/>
      <c r="J5" s="2"/>
      <c r="K5" s="2">
        <f>Tableau2[[#This Row],[Phy min]]+Tableau2[[#This Row],[Men min]]+Tableau2[[#This Row],[Cha min]]</f>
        <v>8</v>
      </c>
      <c r="L5" s="2">
        <f>Tableau2[[#This Row],[Phy max]]+Tableau2[[#This Row],[Men max]]+Tableau2[[#This Row],[Cha max]]</f>
        <v>0</v>
      </c>
      <c r="M5" s="2">
        <f>MAX(Tableau2[[#This Row],[Max stats]]-Tableau2[[#This Row],[Min stats]],0)</f>
        <v>0</v>
      </c>
      <c r="N5" s="2" t="s">
        <v>44</v>
      </c>
      <c r="O5" s="1" t="s">
        <v>11</v>
      </c>
      <c r="P5" t="str">
        <f>IFERROR(VLOOKUP(Tableau2[[#This Row],[Alignement]],Alignement[],2,FALSE),"")</f>
        <v>Mauvais</v>
      </c>
      <c r="Q5" t="str">
        <f>IFERROR(VLOOKUP(Tableau2[[#This Row],[Alignement]],Alignement[],3,FALSE),"")</f>
        <v>Loyal</v>
      </c>
      <c r="R5" s="14">
        <f>IF(Tableau2[[#This Row],[Men min]]&lt;8,1,2)</f>
        <v>1</v>
      </c>
      <c r="S5" s="14">
        <f>IF(OR(AND(Tableau2[[#This Row],[Min stats]]&lt;35,Tableau2[[#This Row],[Loyauté]]&lt;&gt;"Loyal"),AND(Tableau2[[#This Row],[Min stats]]&lt;25,Tableau2[[#This Row],[Loyauté]]="Loyal")),1,0)</f>
        <v>1</v>
      </c>
      <c r="T5" s="14">
        <f>IF(Tableau2[[#This Row],[Max stats]]&gt;43,1,0)</f>
        <v>0</v>
      </c>
      <c r="U5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6" spans="1:21" x14ac:dyDescent="0.25">
      <c r="A6" s="1" t="s">
        <v>18</v>
      </c>
      <c r="B6" t="str">
        <f>Tableau2[[#This Row],[Phy min]] &amp; " - " &amp; Tableau2[[#This Row],[Phy max]]</f>
        <v xml:space="preserve">12 - </v>
      </c>
      <c r="C6" s="2">
        <v>12</v>
      </c>
      <c r="D6" s="2"/>
      <c r="E6" t="str">
        <f>Tableau2[[#This Row],[Men min]] &amp; " - " &amp; Tableau2[[#This Row],[Men max]]</f>
        <v xml:space="preserve">8 - </v>
      </c>
      <c r="F6" s="2">
        <v>8</v>
      </c>
      <c r="G6" s="2"/>
      <c r="H6" t="str">
        <f>Tableau2[[#This Row],[Cha min]] &amp; " - " &amp; Tableau2[[#This Row],[Cha max]]</f>
        <v xml:space="preserve"> - </v>
      </c>
      <c r="I6" s="2"/>
      <c r="J6" s="2"/>
      <c r="K6" s="2">
        <f>Tableau2[[#This Row],[Phy min]]+Tableau2[[#This Row],[Men min]]+Tableau2[[#This Row],[Cha min]]</f>
        <v>20</v>
      </c>
      <c r="L6" s="2">
        <f>Tableau2[[#This Row],[Phy max]]+Tableau2[[#This Row],[Men max]]+Tableau2[[#This Row],[Cha max]]</f>
        <v>0</v>
      </c>
      <c r="M6" s="2">
        <f>MAX(Tableau2[[#This Row],[Max stats]]-Tableau2[[#This Row],[Min stats]],0)</f>
        <v>0</v>
      </c>
      <c r="N6" s="2" t="s">
        <v>38</v>
      </c>
      <c r="O6" s="1" t="s">
        <v>7</v>
      </c>
      <c r="P6" t="str">
        <f>IFERROR(VLOOKUP(Tableau2[[#This Row],[Alignement]],Alignement[],2,FALSE),"")</f>
        <v>Bon</v>
      </c>
      <c r="Q6" t="str">
        <f>IFERROR(VLOOKUP(Tableau2[[#This Row],[Alignement]],Alignement[],3,FALSE),"")</f>
        <v>Neutre</v>
      </c>
      <c r="R6" s="14">
        <f>IF(Tableau2[[#This Row],[Men min]]&lt;8,1,2)</f>
        <v>2</v>
      </c>
      <c r="S6" s="14">
        <f>IF(OR(AND(Tableau2[[#This Row],[Min stats]]&lt;35,Tableau2[[#This Row],[Loyauté]]&lt;&gt;"Loyal"),AND(Tableau2[[#This Row],[Min stats]]&lt;25,Tableau2[[#This Row],[Loyauté]]="Loyal")),1,0)</f>
        <v>1</v>
      </c>
      <c r="T6" s="14">
        <f>IF(Tableau2[[#This Row],[Max stats]]&gt;43,1,0)</f>
        <v>0</v>
      </c>
      <c r="U6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7" spans="1:21" x14ac:dyDescent="0.25">
      <c r="A7" s="1" t="s">
        <v>62</v>
      </c>
      <c r="B7" t="str">
        <f>Tableau2[[#This Row],[Phy min]] &amp; " - " &amp; Tableau2[[#This Row],[Phy max]]</f>
        <v xml:space="preserve">12 - </v>
      </c>
      <c r="C7" s="2">
        <v>12</v>
      </c>
      <c r="D7" s="2"/>
      <c r="E7" t="str">
        <f>Tableau2[[#This Row],[Men min]] &amp; " - " &amp; Tableau2[[#This Row],[Men max]]</f>
        <v>8 - 25</v>
      </c>
      <c r="F7" s="2">
        <v>8</v>
      </c>
      <c r="G7" s="2">
        <v>25</v>
      </c>
      <c r="H7" t="str">
        <f>Tableau2[[#This Row],[Cha min]] &amp; " - " &amp; Tableau2[[#This Row],[Cha max]]</f>
        <v xml:space="preserve"> - </v>
      </c>
      <c r="I7" s="2"/>
      <c r="J7" s="2"/>
      <c r="K7" s="2">
        <f>Tableau2[[#This Row],[Phy min]]+Tableau2[[#This Row],[Men min]]+Tableau2[[#This Row],[Cha min]]</f>
        <v>20</v>
      </c>
      <c r="L7" s="2">
        <f>Tableau2[[#This Row],[Phy max]]+Tableau2[[#This Row],[Men max]]+Tableau2[[#This Row],[Cha max]]</f>
        <v>25</v>
      </c>
      <c r="M7" s="2">
        <f>MAX(Tableau2[[#This Row],[Max stats]]-Tableau2[[#This Row],[Min stats]],0)</f>
        <v>5</v>
      </c>
      <c r="N7" s="2" t="s">
        <v>39</v>
      </c>
      <c r="O7" s="1" t="s">
        <v>6</v>
      </c>
      <c r="P7" t="str">
        <f>IFERROR(VLOOKUP(Tableau2[[#This Row],[Alignement]],Alignement[],2,FALSE),"")</f>
        <v>Bon</v>
      </c>
      <c r="Q7" t="str">
        <f>IFERROR(VLOOKUP(Tableau2[[#This Row],[Alignement]],Alignement[],3,FALSE),"")</f>
        <v>Chaotique</v>
      </c>
      <c r="R7" s="14">
        <f>IF(Tableau2[[#This Row],[Men min]]&lt;8,1,2)</f>
        <v>2</v>
      </c>
      <c r="S7" s="14">
        <f>IF(OR(AND(Tableau2[[#This Row],[Min stats]]&lt;35,Tableau2[[#This Row],[Loyauté]]&lt;&gt;"Loyal"),AND(Tableau2[[#This Row],[Min stats]]&lt;25,Tableau2[[#This Row],[Loyauté]]="Loyal")),1,0)</f>
        <v>1</v>
      </c>
      <c r="T7" s="14">
        <f>IF(Tableau2[[#This Row],[Max stats]]&gt;43,1,0)</f>
        <v>0</v>
      </c>
      <c r="U7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8" spans="1:21" x14ac:dyDescent="0.25">
      <c r="A8" s="1" t="s">
        <v>66</v>
      </c>
      <c r="B8" t="str">
        <f>Tableau2[[#This Row],[Phy min]] &amp; " - " &amp; Tableau2[[#This Row],[Phy max]]</f>
        <v xml:space="preserve"> - </v>
      </c>
      <c r="C8" s="2"/>
      <c r="D8" s="2"/>
      <c r="E8" t="str">
        <f>Tableau2[[#This Row],[Men min]] &amp; " - " &amp; Tableau2[[#This Row],[Men max]]</f>
        <v xml:space="preserve">8 - </v>
      </c>
      <c r="F8" s="2">
        <v>8</v>
      </c>
      <c r="G8" s="2"/>
      <c r="H8" t="str">
        <f>Tableau2[[#This Row],[Cha min]] &amp; " - " &amp; Tableau2[[#This Row],[Cha max]]</f>
        <v xml:space="preserve"> - </v>
      </c>
      <c r="I8" s="2"/>
      <c r="J8" s="2"/>
      <c r="K8" s="2">
        <f>Tableau2[[#This Row],[Phy min]]+Tableau2[[#This Row],[Men min]]+Tableau2[[#This Row],[Cha min]]</f>
        <v>8</v>
      </c>
      <c r="L8" s="2">
        <f>Tableau2[[#This Row],[Phy max]]+Tableau2[[#This Row],[Men max]]+Tableau2[[#This Row],[Cha max]]</f>
        <v>0</v>
      </c>
      <c r="M8" s="2">
        <f>MAX(Tableau2[[#This Row],[Max stats]]-Tableau2[[#This Row],[Min stats]],0)</f>
        <v>0</v>
      </c>
      <c r="N8" s="2" t="s">
        <v>44</v>
      </c>
      <c r="O8" s="1" t="s">
        <v>8</v>
      </c>
      <c r="P8" t="str">
        <f>IFERROR(VLOOKUP(Tableau2[[#This Row],[Alignement]],Alignement[],2,FALSE),"")</f>
        <v>Mauvais</v>
      </c>
      <c r="Q8" t="str">
        <f>IFERROR(VLOOKUP(Tableau2[[#This Row],[Alignement]],Alignement[],3,FALSE),"")</f>
        <v>Chaotique</v>
      </c>
      <c r="R8" s="14">
        <f>IF(Tableau2[[#This Row],[Men min]]&lt;8,1,2)</f>
        <v>2</v>
      </c>
      <c r="S8" s="14">
        <f>IF(OR(AND(Tableau2[[#This Row],[Min stats]]&lt;35,Tableau2[[#This Row],[Loyauté]]&lt;&gt;"Loyal"),AND(Tableau2[[#This Row],[Min stats]]&lt;25,Tableau2[[#This Row],[Loyauté]]="Loyal")),1,0)</f>
        <v>1</v>
      </c>
      <c r="T8" s="14">
        <f>IF(Tableau2[[#This Row],[Max stats]]&gt;43,1,0)</f>
        <v>0</v>
      </c>
      <c r="U8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9" spans="1:21" x14ac:dyDescent="0.25">
      <c r="A9" s="1" t="s">
        <v>49</v>
      </c>
      <c r="B9" t="str">
        <f>Tableau2[[#This Row],[Phy min]] &amp; " - " &amp; Tableau2[[#This Row],[Phy max]]</f>
        <v xml:space="preserve"> - </v>
      </c>
      <c r="C9" s="2"/>
      <c r="D9" s="2"/>
      <c r="E9" t="str">
        <f>Tableau2[[#This Row],[Men min]] &amp; " - " &amp; Tableau2[[#This Row],[Men max]]</f>
        <v xml:space="preserve">8 - </v>
      </c>
      <c r="F9" s="2">
        <v>8</v>
      </c>
      <c r="G9" s="2"/>
      <c r="H9" t="str">
        <f>Tableau2[[#This Row],[Cha min]] &amp; " - " &amp; Tableau2[[#This Row],[Cha max]]</f>
        <v xml:space="preserve"> - </v>
      </c>
      <c r="I9" s="2"/>
      <c r="J9" s="2"/>
      <c r="K9" s="2">
        <f>Tableau2[[#This Row],[Phy min]]+Tableau2[[#This Row],[Men min]]+Tableau2[[#This Row],[Cha min]]</f>
        <v>8</v>
      </c>
      <c r="L9" s="2">
        <f>Tableau2[[#This Row],[Phy max]]+Tableau2[[#This Row],[Men max]]+Tableau2[[#This Row],[Cha max]]</f>
        <v>0</v>
      </c>
      <c r="M9" s="2">
        <f>MAX(Tableau2[[#This Row],[Max stats]]-Tableau2[[#This Row],[Min stats]],0)</f>
        <v>0</v>
      </c>
      <c r="N9" s="2" t="s">
        <v>38</v>
      </c>
      <c r="O9" s="1" t="s">
        <v>8</v>
      </c>
      <c r="P9" t="str">
        <f>IFERROR(VLOOKUP(Tableau2[[#This Row],[Alignement]],Alignement[],2,FALSE),"")</f>
        <v>Mauvais</v>
      </c>
      <c r="Q9" t="str">
        <f>IFERROR(VLOOKUP(Tableau2[[#This Row],[Alignement]],Alignement[],3,FALSE),"")</f>
        <v>Chaotique</v>
      </c>
      <c r="R9" s="14">
        <f>IF(Tableau2[[#This Row],[Men min]]&lt;8,1,2)</f>
        <v>2</v>
      </c>
      <c r="S9" s="14">
        <f>IF(OR(AND(Tableau2[[#This Row],[Min stats]]&lt;35,Tableau2[[#This Row],[Loyauté]]&lt;&gt;"Loyal"),AND(Tableau2[[#This Row],[Min stats]]&lt;25,Tableau2[[#This Row],[Loyauté]]="Loyal")),1,0)</f>
        <v>1</v>
      </c>
      <c r="T9" s="14">
        <f>IF(Tableau2[[#This Row],[Max stats]]&gt;43,1,0)</f>
        <v>0</v>
      </c>
      <c r="U9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0" spans="1:21" x14ac:dyDescent="0.25">
      <c r="A10" s="1" t="s">
        <v>57</v>
      </c>
      <c r="B10" t="str">
        <f>Tableau2[[#This Row],[Phy min]] &amp; " - " &amp; Tableau2[[#This Row],[Phy max]]</f>
        <v xml:space="preserve"> - </v>
      </c>
      <c r="C10" s="2"/>
      <c r="D10" s="2"/>
      <c r="E10" t="str">
        <f>Tableau2[[#This Row],[Men min]] &amp; " - " &amp; Tableau2[[#This Row],[Men max]]</f>
        <v xml:space="preserve">8 - </v>
      </c>
      <c r="F10" s="2">
        <v>8</v>
      </c>
      <c r="G10" s="2"/>
      <c r="H10" t="str">
        <f>Tableau2[[#This Row],[Cha min]] &amp; " - " &amp; Tableau2[[#This Row],[Cha max]]</f>
        <v xml:space="preserve"> - </v>
      </c>
      <c r="I10" s="2"/>
      <c r="J10" s="2"/>
      <c r="K10" s="2">
        <f>Tableau2[[#This Row],[Phy min]]+Tableau2[[#This Row],[Men min]]+Tableau2[[#This Row],[Cha min]]</f>
        <v>8</v>
      </c>
      <c r="L10" s="2">
        <f>Tableau2[[#This Row],[Phy max]]+Tableau2[[#This Row],[Men max]]+Tableau2[[#This Row],[Cha max]]</f>
        <v>0</v>
      </c>
      <c r="M10" s="2">
        <f>MAX(Tableau2[[#This Row],[Max stats]]-Tableau2[[#This Row],[Min stats]],0)</f>
        <v>0</v>
      </c>
      <c r="N10" s="2" t="s">
        <v>40</v>
      </c>
      <c r="O10" s="1" t="s">
        <v>11</v>
      </c>
      <c r="P10" t="str">
        <f>IFERROR(VLOOKUP(Tableau2[[#This Row],[Alignement]],Alignement[],2,FALSE),"")</f>
        <v>Mauvais</v>
      </c>
      <c r="Q10" t="str">
        <f>IFERROR(VLOOKUP(Tableau2[[#This Row],[Alignement]],Alignement[],3,FALSE),"")</f>
        <v>Loyal</v>
      </c>
      <c r="R10" s="14">
        <f>IF(Tableau2[[#This Row],[Men min]]&lt;8,1,2)</f>
        <v>2</v>
      </c>
      <c r="S10" s="14">
        <f>IF(OR(AND(Tableau2[[#This Row],[Min stats]]&lt;35,Tableau2[[#This Row],[Loyauté]]&lt;&gt;"Loyal"),AND(Tableau2[[#This Row],[Min stats]]&lt;25,Tableau2[[#This Row],[Loyauté]]="Loyal")),1,0)</f>
        <v>1</v>
      </c>
      <c r="T10" s="14">
        <f>IF(Tableau2[[#This Row],[Max stats]]&gt;43,1,0)</f>
        <v>0</v>
      </c>
      <c r="U10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1" spans="1:21" x14ac:dyDescent="0.25">
      <c r="A11" s="1" t="s">
        <v>52</v>
      </c>
      <c r="B11" t="str">
        <f>Tableau2[[#This Row],[Phy min]] &amp; " - " &amp; Tableau2[[#This Row],[Phy max]]</f>
        <v xml:space="preserve"> - </v>
      </c>
      <c r="C11" s="2"/>
      <c r="D11" s="2"/>
      <c r="E11" t="str">
        <f>Tableau2[[#This Row],[Men min]] &amp; " - " &amp; Tableau2[[#This Row],[Men max]]</f>
        <v xml:space="preserve">8 - </v>
      </c>
      <c r="F11" s="2">
        <v>8</v>
      </c>
      <c r="G11" s="2"/>
      <c r="H11" t="str">
        <f>Tableau2[[#This Row],[Cha min]] &amp; " - " &amp; Tableau2[[#This Row],[Cha max]]</f>
        <v xml:space="preserve"> - </v>
      </c>
      <c r="I11" s="2"/>
      <c r="J11" s="2"/>
      <c r="K11" s="2">
        <f>Tableau2[[#This Row],[Phy min]]+Tableau2[[#This Row],[Men min]]+Tableau2[[#This Row],[Cha min]]</f>
        <v>8</v>
      </c>
      <c r="L11" s="2">
        <f>Tableau2[[#This Row],[Phy max]]+Tableau2[[#This Row],[Men max]]+Tableau2[[#This Row],[Cha max]]</f>
        <v>0</v>
      </c>
      <c r="M11" s="2">
        <f>MAX(Tableau2[[#This Row],[Max stats]]-Tableau2[[#This Row],[Min stats]],0)</f>
        <v>0</v>
      </c>
      <c r="N11" s="2" t="s">
        <v>41</v>
      </c>
      <c r="O11" s="1" t="s">
        <v>9</v>
      </c>
      <c r="P11" t="str">
        <f>IFERROR(VLOOKUP(Tableau2[[#This Row],[Alignement]],Alignement[],2,FALSE),"")</f>
        <v>Neutre</v>
      </c>
      <c r="Q11" t="str">
        <f>IFERROR(VLOOKUP(Tableau2[[#This Row],[Alignement]],Alignement[],3,FALSE),"")</f>
        <v>Loyal</v>
      </c>
      <c r="R11" s="14">
        <f>IF(Tableau2[[#This Row],[Men min]]&lt;8,1,2)</f>
        <v>2</v>
      </c>
      <c r="S11" s="14">
        <f>IF(OR(AND(Tableau2[[#This Row],[Min stats]]&lt;35,Tableau2[[#This Row],[Loyauté]]&lt;&gt;"Loyal"),AND(Tableau2[[#This Row],[Min stats]]&lt;25,Tableau2[[#This Row],[Loyauté]]="Loyal")),1,0)</f>
        <v>1</v>
      </c>
      <c r="T11" s="14">
        <f>IF(Tableau2[[#This Row],[Max stats]]&gt;43,1,0)</f>
        <v>0</v>
      </c>
      <c r="U11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2" spans="1:21" x14ac:dyDescent="0.25">
      <c r="A12" s="1" t="s">
        <v>53</v>
      </c>
      <c r="B12" t="str">
        <f>Tableau2[[#This Row],[Phy min]] &amp; " - " &amp; Tableau2[[#This Row],[Phy max]]</f>
        <v xml:space="preserve"> - </v>
      </c>
      <c r="C12" s="2"/>
      <c r="D12" s="2"/>
      <c r="E12" t="str">
        <f>Tableau2[[#This Row],[Men min]] &amp; " - " &amp; Tableau2[[#This Row],[Men max]]</f>
        <v xml:space="preserve">8 - </v>
      </c>
      <c r="F12" s="2">
        <v>8</v>
      </c>
      <c r="G12" s="2"/>
      <c r="H12" t="str">
        <f>Tableau2[[#This Row],[Cha min]] &amp; " - " &amp; Tableau2[[#This Row],[Cha max]]</f>
        <v xml:space="preserve"> - </v>
      </c>
      <c r="I12" s="2"/>
      <c r="J12" s="2"/>
      <c r="K12" s="2">
        <f>Tableau2[[#This Row],[Phy min]]+Tableau2[[#This Row],[Men min]]+Tableau2[[#This Row],[Cha min]]</f>
        <v>8</v>
      </c>
      <c r="L12" s="2">
        <f>Tableau2[[#This Row],[Phy max]]+Tableau2[[#This Row],[Men max]]+Tableau2[[#This Row],[Cha max]]</f>
        <v>0</v>
      </c>
      <c r="M12" s="2">
        <f>MAX(Tableau2[[#This Row],[Max stats]]-Tableau2[[#This Row],[Min stats]],0)</f>
        <v>0</v>
      </c>
      <c r="N12" s="2" t="s">
        <v>43</v>
      </c>
      <c r="O12" s="1" t="s">
        <v>9</v>
      </c>
      <c r="P12" t="str">
        <f>IFERROR(VLOOKUP(Tableau2[[#This Row],[Alignement]],Alignement[],2,FALSE),"")</f>
        <v>Neutre</v>
      </c>
      <c r="Q12" t="str">
        <f>IFERROR(VLOOKUP(Tableau2[[#This Row],[Alignement]],Alignement[],3,FALSE),"")</f>
        <v>Loyal</v>
      </c>
      <c r="R12" s="14">
        <f>IF(Tableau2[[#This Row],[Men min]]&lt;8,1,2)</f>
        <v>2</v>
      </c>
      <c r="S12" s="14">
        <f>IF(OR(AND(Tableau2[[#This Row],[Min stats]]&lt;35,Tableau2[[#This Row],[Loyauté]]&lt;&gt;"Loyal"),AND(Tableau2[[#This Row],[Min stats]]&lt;25,Tableau2[[#This Row],[Loyauté]]="Loyal")),1,0)</f>
        <v>1</v>
      </c>
      <c r="T12" s="14">
        <f>IF(Tableau2[[#This Row],[Max stats]]&gt;43,1,0)</f>
        <v>0</v>
      </c>
      <c r="U12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3" spans="1:21" x14ac:dyDescent="0.25">
      <c r="A13" s="1" t="s">
        <v>61</v>
      </c>
      <c r="B13" t="str">
        <f>Tableau2[[#This Row],[Phy min]] &amp; " - " &amp; Tableau2[[#This Row],[Phy max]]</f>
        <v xml:space="preserve"> - </v>
      </c>
      <c r="C13" s="2"/>
      <c r="D13" s="2"/>
      <c r="E13" t="str">
        <f>Tableau2[[#This Row],[Men min]] &amp; " - " &amp; Tableau2[[#This Row],[Men max]]</f>
        <v xml:space="preserve">8 - </v>
      </c>
      <c r="F13" s="2">
        <v>8</v>
      </c>
      <c r="G13" s="2"/>
      <c r="H13" t="str">
        <f>Tableau2[[#This Row],[Cha min]] &amp; " - " &amp; Tableau2[[#This Row],[Cha max]]</f>
        <v xml:space="preserve"> - </v>
      </c>
      <c r="I13" s="2"/>
      <c r="J13" s="2"/>
      <c r="K13" s="2">
        <f>Tableau2[[#This Row],[Phy min]]+Tableau2[[#This Row],[Men min]]+Tableau2[[#This Row],[Cha min]]</f>
        <v>8</v>
      </c>
      <c r="L13" s="2">
        <f>Tableau2[[#This Row],[Phy max]]+Tableau2[[#This Row],[Men max]]+Tableau2[[#This Row],[Cha max]]</f>
        <v>0</v>
      </c>
      <c r="M13" s="2">
        <f>MAX(Tableau2[[#This Row],[Max stats]]-Tableau2[[#This Row],[Min stats]],0)</f>
        <v>0</v>
      </c>
      <c r="N13" s="2" t="s">
        <v>44</v>
      </c>
      <c r="O13" s="1" t="s">
        <v>5</v>
      </c>
      <c r="P13" t="str">
        <f>IFERROR(VLOOKUP(Tableau2[[#This Row],[Alignement]],Alignement[],2,FALSE),"")</f>
        <v>Neutre</v>
      </c>
      <c r="Q13" t="str">
        <f>IFERROR(VLOOKUP(Tableau2[[#This Row],[Alignement]],Alignement[],3,FALSE),"")</f>
        <v>Neutre</v>
      </c>
      <c r="R13" s="14">
        <f>IF(Tableau2[[#This Row],[Men min]]&lt;8,1,2)</f>
        <v>2</v>
      </c>
      <c r="S13" s="14">
        <f>IF(OR(AND(Tableau2[[#This Row],[Min stats]]&lt;35,Tableau2[[#This Row],[Loyauté]]&lt;&gt;"Loyal"),AND(Tableau2[[#This Row],[Min stats]]&lt;25,Tableau2[[#This Row],[Loyauté]]="Loyal")),1,0)</f>
        <v>1</v>
      </c>
      <c r="T13" s="14">
        <f>IF(Tableau2[[#This Row],[Max stats]]&gt;43,1,0)</f>
        <v>0</v>
      </c>
      <c r="U13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4" spans="1:21" x14ac:dyDescent="0.25">
      <c r="A14" s="1" t="s">
        <v>48</v>
      </c>
      <c r="B14" t="str">
        <f>Tableau2[[#This Row],[Phy min]] &amp; " - " &amp; Tableau2[[#This Row],[Phy max]]</f>
        <v xml:space="preserve"> - </v>
      </c>
      <c r="C14" s="2"/>
      <c r="D14" s="2"/>
      <c r="E14" t="str">
        <f>Tableau2[[#This Row],[Men min]] &amp; " - " &amp; Tableau2[[#This Row],[Men max]]</f>
        <v xml:space="preserve">8 - </v>
      </c>
      <c r="F14" s="2">
        <v>8</v>
      </c>
      <c r="G14" s="2"/>
      <c r="H14" t="str">
        <f>Tableau2[[#This Row],[Cha min]] &amp; " - " &amp; Tableau2[[#This Row],[Cha max]]</f>
        <v xml:space="preserve"> - </v>
      </c>
      <c r="I14" s="2"/>
      <c r="J14" s="2"/>
      <c r="K14" s="2">
        <f>Tableau2[[#This Row],[Phy min]]+Tableau2[[#This Row],[Men min]]+Tableau2[[#This Row],[Cha min]]</f>
        <v>8</v>
      </c>
      <c r="L14" s="2">
        <f>Tableau2[[#This Row],[Phy max]]+Tableau2[[#This Row],[Men max]]+Tableau2[[#This Row],[Cha max]]</f>
        <v>0</v>
      </c>
      <c r="M14" s="2">
        <f>MAX(Tableau2[[#This Row],[Max stats]]-Tableau2[[#This Row],[Min stats]],0)</f>
        <v>0</v>
      </c>
      <c r="N14" s="2" t="s">
        <v>41</v>
      </c>
      <c r="O14" s="1" t="s">
        <v>0</v>
      </c>
      <c r="P14" t="str">
        <f>IFERROR(VLOOKUP(Tableau2[[#This Row],[Alignement]],Alignement[],2,FALSE),"")</f>
        <v>Mauvais</v>
      </c>
      <c r="Q14" t="str">
        <f>IFERROR(VLOOKUP(Tableau2[[#This Row],[Alignement]],Alignement[],3,FALSE),"")</f>
        <v>Neutre</v>
      </c>
      <c r="R14" s="14">
        <f>IF(Tableau2[[#This Row],[Men min]]&lt;8,1,2)</f>
        <v>2</v>
      </c>
      <c r="S14" s="14">
        <f>IF(OR(AND(Tableau2[[#This Row],[Min stats]]&lt;35,Tableau2[[#This Row],[Loyauté]]&lt;&gt;"Loyal"),AND(Tableau2[[#This Row],[Min stats]]&lt;25,Tableau2[[#This Row],[Loyauté]]="Loyal")),1,0)</f>
        <v>1</v>
      </c>
      <c r="T14" s="14">
        <f>IF(Tableau2[[#This Row],[Max stats]]&gt;43,1,0)</f>
        <v>0</v>
      </c>
      <c r="U14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5" spans="1:21" x14ac:dyDescent="0.25">
      <c r="A15" s="1" t="s">
        <v>51</v>
      </c>
      <c r="B15" t="str">
        <f>Tableau2[[#This Row],[Phy min]] &amp; " - " &amp; Tableau2[[#This Row],[Phy max]]</f>
        <v xml:space="preserve"> - </v>
      </c>
      <c r="C15" s="2"/>
      <c r="D15" s="2"/>
      <c r="E15" t="str">
        <f>Tableau2[[#This Row],[Men min]] &amp; " - " &amp; Tableau2[[#This Row],[Men max]]</f>
        <v xml:space="preserve">10 - </v>
      </c>
      <c r="F15" s="2">
        <v>10</v>
      </c>
      <c r="G15" s="2"/>
      <c r="H15" t="str">
        <f>Tableau2[[#This Row],[Cha min]] &amp; " - " &amp; Tableau2[[#This Row],[Cha max]]</f>
        <v xml:space="preserve"> - </v>
      </c>
      <c r="I15" s="2"/>
      <c r="J15" s="2"/>
      <c r="K15" s="2">
        <f>Tableau2[[#This Row],[Phy min]]+Tableau2[[#This Row],[Men min]]+Tableau2[[#This Row],[Cha min]]</f>
        <v>10</v>
      </c>
      <c r="L15" s="2">
        <f>Tableau2[[#This Row],[Phy max]]+Tableau2[[#This Row],[Men max]]+Tableau2[[#This Row],[Cha max]]</f>
        <v>0</v>
      </c>
      <c r="M15" s="2">
        <f>MAX(Tableau2[[#This Row],[Max stats]]-Tableau2[[#This Row],[Min stats]],0)</f>
        <v>0</v>
      </c>
      <c r="N15" s="2" t="s">
        <v>40</v>
      </c>
      <c r="O15" s="1" t="s">
        <v>8</v>
      </c>
      <c r="P15" t="str">
        <f>IFERROR(VLOOKUP(Tableau2[[#This Row],[Alignement]],Alignement[],2,FALSE),"")</f>
        <v>Mauvais</v>
      </c>
      <c r="Q15" t="str">
        <f>IFERROR(VLOOKUP(Tableau2[[#This Row],[Alignement]],Alignement[],3,FALSE),"")</f>
        <v>Chaotique</v>
      </c>
      <c r="R15" s="14">
        <f>IF(Tableau2[[#This Row],[Men min]]&lt;8,1,2)</f>
        <v>2</v>
      </c>
      <c r="S15" s="14">
        <f>IF(OR(AND(Tableau2[[#This Row],[Min stats]]&lt;35,Tableau2[[#This Row],[Loyauté]]&lt;&gt;"Loyal"),AND(Tableau2[[#This Row],[Min stats]]&lt;25,Tableau2[[#This Row],[Loyauté]]="Loyal")),1,0)</f>
        <v>1</v>
      </c>
      <c r="T15" s="14">
        <f>IF(Tableau2[[#This Row],[Max stats]]&gt;43,1,0)</f>
        <v>0</v>
      </c>
      <c r="U15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6" spans="1:21" x14ac:dyDescent="0.25">
      <c r="A16" s="1" t="s">
        <v>58</v>
      </c>
      <c r="B16" t="str">
        <f>Tableau2[[#This Row],[Phy min]] &amp; " - " &amp; Tableau2[[#This Row],[Phy max]]</f>
        <v xml:space="preserve"> - </v>
      </c>
      <c r="C16" s="2"/>
      <c r="D16" s="2"/>
      <c r="E16" t="str">
        <f>Tableau2[[#This Row],[Men min]] &amp; " - " &amp; Tableau2[[#This Row],[Men max]]</f>
        <v xml:space="preserve">10 - </v>
      </c>
      <c r="F16" s="2">
        <v>10</v>
      </c>
      <c r="G16" s="2"/>
      <c r="H16" t="str">
        <f>Tableau2[[#This Row],[Cha min]] &amp; " - " &amp; Tableau2[[#This Row],[Cha max]]</f>
        <v xml:space="preserve"> - </v>
      </c>
      <c r="I16" s="2"/>
      <c r="J16" s="2"/>
      <c r="K16" s="2">
        <f>Tableau2[[#This Row],[Phy min]]+Tableau2[[#This Row],[Men min]]+Tableau2[[#This Row],[Cha min]]</f>
        <v>10</v>
      </c>
      <c r="L16" s="2">
        <f>Tableau2[[#This Row],[Phy max]]+Tableau2[[#This Row],[Men max]]+Tableau2[[#This Row],[Cha max]]</f>
        <v>0</v>
      </c>
      <c r="M16" s="2">
        <f>MAX(Tableau2[[#This Row],[Max stats]]-Tableau2[[#This Row],[Min stats]],0)</f>
        <v>0</v>
      </c>
      <c r="N16" s="2" t="s">
        <v>43</v>
      </c>
      <c r="O16" s="1" t="s">
        <v>10</v>
      </c>
      <c r="P16" t="str">
        <f>IFERROR(VLOOKUP(Tableau2[[#This Row],[Alignement]],Alignement[],2,FALSE),"")</f>
        <v>Bon</v>
      </c>
      <c r="Q16" t="str">
        <f>IFERROR(VLOOKUP(Tableau2[[#This Row],[Alignement]],Alignement[],3,FALSE),"")</f>
        <v>Loyal</v>
      </c>
      <c r="R16" s="14">
        <f>IF(Tableau2[[#This Row],[Men min]]&lt;8,1,2)</f>
        <v>2</v>
      </c>
      <c r="S16" s="14">
        <f>IF(OR(AND(Tableau2[[#This Row],[Min stats]]&lt;35,Tableau2[[#This Row],[Loyauté]]&lt;&gt;"Loyal"),AND(Tableau2[[#This Row],[Min stats]]&lt;25,Tableau2[[#This Row],[Loyauté]]="Loyal")),1,0)</f>
        <v>1</v>
      </c>
      <c r="T16" s="14">
        <f>IF(Tableau2[[#This Row],[Max stats]]&gt;43,1,0)</f>
        <v>0</v>
      </c>
      <c r="U16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7" spans="1:21" x14ac:dyDescent="0.25">
      <c r="A17" s="1" t="s">
        <v>47</v>
      </c>
      <c r="B17" t="str">
        <f>Tableau2[[#This Row],[Phy min]] &amp; " - " &amp; Tableau2[[#This Row],[Phy max]]</f>
        <v xml:space="preserve"> - </v>
      </c>
      <c r="C17" s="2"/>
      <c r="D17" s="2"/>
      <c r="E17" t="str">
        <f>Tableau2[[#This Row],[Men min]] &amp; " - " &amp; Tableau2[[#This Row],[Men max]]</f>
        <v xml:space="preserve">10 - </v>
      </c>
      <c r="F17" s="2">
        <v>10</v>
      </c>
      <c r="G17" s="2"/>
      <c r="H17" t="str">
        <f>Tableau2[[#This Row],[Cha min]] &amp; " - " &amp; Tableau2[[#This Row],[Cha max]]</f>
        <v xml:space="preserve"> - </v>
      </c>
      <c r="I17" s="2"/>
      <c r="J17" s="2"/>
      <c r="K17" s="2">
        <f>Tableau2[[#This Row],[Phy min]]+Tableau2[[#This Row],[Men min]]+Tableau2[[#This Row],[Cha min]]</f>
        <v>10</v>
      </c>
      <c r="L17" s="2">
        <f>Tableau2[[#This Row],[Phy max]]+Tableau2[[#This Row],[Men max]]+Tableau2[[#This Row],[Cha max]]</f>
        <v>0</v>
      </c>
      <c r="M17" s="2">
        <f>MAX(Tableau2[[#This Row],[Max stats]]-Tableau2[[#This Row],[Min stats]],0)</f>
        <v>0</v>
      </c>
      <c r="N17" s="2" t="s">
        <v>39</v>
      </c>
      <c r="O17" s="1" t="s">
        <v>9</v>
      </c>
      <c r="P17" t="str">
        <f>IFERROR(VLOOKUP(Tableau2[[#This Row],[Alignement]],Alignement[],2,FALSE),"")</f>
        <v>Neutre</v>
      </c>
      <c r="Q17" t="str">
        <f>IFERROR(VLOOKUP(Tableau2[[#This Row],[Alignement]],Alignement[],3,FALSE),"")</f>
        <v>Loyal</v>
      </c>
      <c r="R17" s="14">
        <f>IF(Tableau2[[#This Row],[Men min]]&lt;8,1,2)</f>
        <v>2</v>
      </c>
      <c r="S17" s="14">
        <f>IF(OR(AND(Tableau2[[#This Row],[Min stats]]&lt;35,Tableau2[[#This Row],[Loyauté]]&lt;&gt;"Loyal"),AND(Tableau2[[#This Row],[Min stats]]&lt;25,Tableau2[[#This Row],[Loyauté]]="Loyal")),1,0)</f>
        <v>1</v>
      </c>
      <c r="T17" s="14">
        <f>IF(Tableau2[[#This Row],[Max stats]]&gt;43,1,0)</f>
        <v>0</v>
      </c>
      <c r="U17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8" spans="1:21" x14ac:dyDescent="0.25">
      <c r="A18" s="1" t="s">
        <v>17</v>
      </c>
      <c r="B18" t="str">
        <f>Tableau2[[#This Row],[Phy min]] &amp; " - " &amp; Tableau2[[#This Row],[Phy max]]</f>
        <v xml:space="preserve"> - </v>
      </c>
      <c r="C18" s="2"/>
      <c r="D18" s="2"/>
      <c r="E18" t="str">
        <f>Tableau2[[#This Row],[Men min]] &amp; " - " &amp; Tableau2[[#This Row],[Men max]]</f>
        <v xml:space="preserve">10 - </v>
      </c>
      <c r="F18" s="2">
        <v>10</v>
      </c>
      <c r="G18" s="2"/>
      <c r="H18" t="str">
        <f>Tableau2[[#This Row],[Cha min]] &amp; " - " &amp; Tableau2[[#This Row],[Cha max]]</f>
        <v xml:space="preserve"> - </v>
      </c>
      <c r="I18" s="2"/>
      <c r="J18" s="2"/>
      <c r="K18" s="2">
        <f>Tableau2[[#This Row],[Phy min]]+Tableau2[[#This Row],[Men min]]+Tableau2[[#This Row],[Cha min]]</f>
        <v>10</v>
      </c>
      <c r="L18" s="2">
        <f>Tableau2[[#This Row],[Phy max]]+Tableau2[[#This Row],[Men max]]+Tableau2[[#This Row],[Cha max]]</f>
        <v>0</v>
      </c>
      <c r="M18" s="2">
        <f>MAX(Tableau2[[#This Row],[Max stats]]-Tableau2[[#This Row],[Min stats]],0)</f>
        <v>0</v>
      </c>
      <c r="N18" s="2" t="s">
        <v>43</v>
      </c>
      <c r="O18" s="1" t="s">
        <v>5</v>
      </c>
      <c r="P18" t="str">
        <f>IFERROR(VLOOKUP(Tableau2[[#This Row],[Alignement]],Alignement[],2,FALSE),"")</f>
        <v>Neutre</v>
      </c>
      <c r="Q18" t="str">
        <f>IFERROR(VLOOKUP(Tableau2[[#This Row],[Alignement]],Alignement[],3,FALSE),"")</f>
        <v>Neutre</v>
      </c>
      <c r="R18" s="14">
        <f>IF(Tableau2[[#This Row],[Men min]]&lt;8,1,2)</f>
        <v>2</v>
      </c>
      <c r="S18" s="14">
        <f>IF(OR(AND(Tableau2[[#This Row],[Min stats]]&lt;35,Tableau2[[#This Row],[Loyauté]]&lt;&gt;"Loyal"),AND(Tableau2[[#This Row],[Min stats]]&lt;25,Tableau2[[#This Row],[Loyauté]]="Loyal")),1,0)</f>
        <v>1</v>
      </c>
      <c r="T18" s="14">
        <f>IF(Tableau2[[#This Row],[Max stats]]&gt;43,1,0)</f>
        <v>0</v>
      </c>
      <c r="U18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9" spans="1:21" x14ac:dyDescent="0.25">
      <c r="A19" s="1" t="s">
        <v>16</v>
      </c>
      <c r="B19" t="str">
        <f>Tableau2[[#This Row],[Phy min]] &amp; " - " &amp; Tableau2[[#This Row],[Phy max]]</f>
        <v xml:space="preserve"> - </v>
      </c>
      <c r="C19" s="2"/>
      <c r="D19" s="2"/>
      <c r="E19" t="str">
        <f>Tableau2[[#This Row],[Men min]] &amp; " - " &amp; Tableau2[[#This Row],[Men max]]</f>
        <v xml:space="preserve">10 - </v>
      </c>
      <c r="F19" s="2">
        <v>10</v>
      </c>
      <c r="G19" s="2"/>
      <c r="H19" t="str">
        <f>Tableau2[[#This Row],[Cha min]] &amp; " - " &amp; Tableau2[[#This Row],[Cha max]]</f>
        <v xml:space="preserve"> - </v>
      </c>
      <c r="I19" s="2"/>
      <c r="J19" s="2"/>
      <c r="K19" s="2">
        <f>Tableau2[[#This Row],[Phy min]]+Tableau2[[#This Row],[Men min]]+Tableau2[[#This Row],[Cha min]]</f>
        <v>10</v>
      </c>
      <c r="L19" s="2">
        <f>Tableau2[[#This Row],[Phy max]]+Tableau2[[#This Row],[Men max]]+Tableau2[[#This Row],[Cha max]]</f>
        <v>0</v>
      </c>
      <c r="M19" s="2">
        <f>MAX(Tableau2[[#This Row],[Max stats]]-Tableau2[[#This Row],[Min stats]],0)</f>
        <v>0</v>
      </c>
      <c r="N19" s="2" t="s">
        <v>42</v>
      </c>
      <c r="O19" s="1" t="s">
        <v>5</v>
      </c>
      <c r="P19" t="str">
        <f>IFERROR(VLOOKUP(Tableau2[[#This Row],[Alignement]],Alignement[],2,FALSE),"")</f>
        <v>Neutre</v>
      </c>
      <c r="Q19" t="str">
        <f>IFERROR(VLOOKUP(Tableau2[[#This Row],[Alignement]],Alignement[],3,FALSE),"")</f>
        <v>Neutre</v>
      </c>
      <c r="R19" s="14">
        <f>IF(Tableau2[[#This Row],[Men min]]&lt;8,1,2)</f>
        <v>2</v>
      </c>
      <c r="S19" s="14">
        <f>IF(OR(AND(Tableau2[[#This Row],[Min stats]]&lt;35,Tableau2[[#This Row],[Loyauté]]&lt;&gt;"Loyal"),AND(Tableau2[[#This Row],[Min stats]]&lt;25,Tableau2[[#This Row],[Loyauté]]="Loyal")),1,0)</f>
        <v>1</v>
      </c>
      <c r="T19" s="14">
        <f>IF(Tableau2[[#This Row],[Max stats]]&gt;43,1,0)</f>
        <v>0</v>
      </c>
      <c r="U19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0" spans="1:21" x14ac:dyDescent="0.25">
      <c r="A20" s="1" t="s">
        <v>23</v>
      </c>
      <c r="B20" t="str">
        <f>Tableau2[[#This Row],[Phy min]] &amp; " - " &amp; Tableau2[[#This Row],[Phy max]]</f>
        <v xml:space="preserve"> - </v>
      </c>
      <c r="C20" s="2"/>
      <c r="D20" s="2"/>
      <c r="E20" t="str">
        <f>Tableau2[[#This Row],[Men min]] &amp; " - " &amp; Tableau2[[#This Row],[Men max]]</f>
        <v xml:space="preserve">10 - </v>
      </c>
      <c r="F20" s="2">
        <v>10</v>
      </c>
      <c r="G20" s="2"/>
      <c r="H20" t="str">
        <f>Tableau2[[#This Row],[Cha min]] &amp; " - " &amp; Tableau2[[#This Row],[Cha max]]</f>
        <v xml:space="preserve"> - </v>
      </c>
      <c r="I20" s="2"/>
      <c r="J20" s="2"/>
      <c r="K20" s="2">
        <f>Tableau2[[#This Row],[Phy min]]+Tableau2[[#This Row],[Men min]]+Tableau2[[#This Row],[Cha min]]</f>
        <v>10</v>
      </c>
      <c r="L20" s="2">
        <f>Tableau2[[#This Row],[Phy max]]+Tableau2[[#This Row],[Men max]]+Tableau2[[#This Row],[Cha max]]</f>
        <v>0</v>
      </c>
      <c r="M20" s="2">
        <f>MAX(Tableau2[[#This Row],[Max stats]]-Tableau2[[#This Row],[Min stats]],0)</f>
        <v>0</v>
      </c>
      <c r="N20" s="2" t="s">
        <v>44</v>
      </c>
      <c r="O20" s="1" t="s">
        <v>0</v>
      </c>
      <c r="P20" t="str">
        <f>IFERROR(VLOOKUP(Tableau2[[#This Row],[Alignement]],Alignement[],2,FALSE),"")</f>
        <v>Mauvais</v>
      </c>
      <c r="Q20" t="str">
        <f>IFERROR(VLOOKUP(Tableau2[[#This Row],[Alignement]],Alignement[],3,FALSE),"")</f>
        <v>Neutre</v>
      </c>
      <c r="R20" s="14">
        <f>IF(Tableau2[[#This Row],[Men min]]&lt;8,1,2)</f>
        <v>2</v>
      </c>
      <c r="S20" s="14">
        <f>IF(OR(AND(Tableau2[[#This Row],[Min stats]]&lt;35,Tableau2[[#This Row],[Loyauté]]&lt;&gt;"Loyal"),AND(Tableau2[[#This Row],[Min stats]]&lt;25,Tableau2[[#This Row],[Loyauté]]="Loyal")),1,0)</f>
        <v>1</v>
      </c>
      <c r="T20" s="14">
        <f>IF(Tableau2[[#This Row],[Max stats]]&gt;43,1,0)</f>
        <v>0</v>
      </c>
      <c r="U20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1" spans="1:21" x14ac:dyDescent="0.25">
      <c r="A21" s="1" t="s">
        <v>19</v>
      </c>
      <c r="B21" t="str">
        <f>Tableau2[[#This Row],[Phy min]] &amp; " - " &amp; Tableau2[[#This Row],[Phy max]]</f>
        <v xml:space="preserve"> - </v>
      </c>
      <c r="C21" s="2"/>
      <c r="D21" s="2"/>
      <c r="E21" t="str">
        <f>Tableau2[[#This Row],[Men min]] &amp; " - " &amp; Tableau2[[#This Row],[Men max]]</f>
        <v xml:space="preserve">10 - </v>
      </c>
      <c r="F21" s="2">
        <v>10</v>
      </c>
      <c r="G21" s="2"/>
      <c r="H21" t="str">
        <f>Tableau2[[#This Row],[Cha min]] &amp; " - " &amp; Tableau2[[#This Row],[Cha max]]</f>
        <v xml:space="preserve"> - </v>
      </c>
      <c r="I21" s="2"/>
      <c r="J21" s="2"/>
      <c r="K21" s="2">
        <f>Tableau2[[#This Row],[Phy min]]+Tableau2[[#This Row],[Men min]]+Tableau2[[#This Row],[Cha min]]</f>
        <v>10</v>
      </c>
      <c r="L21" s="2">
        <f>Tableau2[[#This Row],[Phy max]]+Tableau2[[#This Row],[Men max]]+Tableau2[[#This Row],[Cha max]]</f>
        <v>0</v>
      </c>
      <c r="M21" s="2">
        <f>MAX(Tableau2[[#This Row],[Max stats]]-Tableau2[[#This Row],[Min stats]],0)</f>
        <v>0</v>
      </c>
      <c r="N21" s="2" t="s">
        <v>44</v>
      </c>
      <c r="O21" s="1" t="s">
        <v>0</v>
      </c>
      <c r="P21" t="str">
        <f>IFERROR(VLOOKUP(Tableau2[[#This Row],[Alignement]],Alignement[],2,FALSE),"")</f>
        <v>Mauvais</v>
      </c>
      <c r="Q21" t="str">
        <f>IFERROR(VLOOKUP(Tableau2[[#This Row],[Alignement]],Alignement[],3,FALSE),"")</f>
        <v>Neutre</v>
      </c>
      <c r="R21" s="14">
        <f>IF(Tableau2[[#This Row],[Men min]]&lt;8,1,2)</f>
        <v>2</v>
      </c>
      <c r="S21" s="14">
        <f>IF(OR(AND(Tableau2[[#This Row],[Min stats]]&lt;35,Tableau2[[#This Row],[Loyauté]]&lt;&gt;"Loyal"),AND(Tableau2[[#This Row],[Min stats]]&lt;25,Tableau2[[#This Row],[Loyauté]]="Loyal")),1,0)</f>
        <v>1</v>
      </c>
      <c r="T21" s="14">
        <f>IF(Tableau2[[#This Row],[Max stats]]&gt;43,1,0)</f>
        <v>0</v>
      </c>
      <c r="U21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2" spans="1:21" x14ac:dyDescent="0.25">
      <c r="A22" s="1" t="s">
        <v>50</v>
      </c>
      <c r="B22" t="str">
        <f>Tableau2[[#This Row],[Phy min]] &amp; " - " &amp; Tableau2[[#This Row],[Phy max]]</f>
        <v xml:space="preserve">12 - </v>
      </c>
      <c r="C22" s="2">
        <v>12</v>
      </c>
      <c r="D22" s="2"/>
      <c r="E22" t="str">
        <f>Tableau2[[#This Row],[Men min]] &amp; " - " &amp; Tableau2[[#This Row],[Men max]]</f>
        <v xml:space="preserve">0 - </v>
      </c>
      <c r="F22" s="2">
        <v>0</v>
      </c>
      <c r="G22" s="2"/>
      <c r="H22" t="str">
        <f>Tableau2[[#This Row],[Cha min]] &amp; " - " &amp; Tableau2[[#This Row],[Cha max]]</f>
        <v xml:space="preserve"> - </v>
      </c>
      <c r="I22" s="2"/>
      <c r="J22" s="2"/>
      <c r="K22" s="2">
        <f>Tableau2[[#This Row],[Phy min]]+Tableau2[[#This Row],[Men min]]+Tableau2[[#This Row],[Cha min]]</f>
        <v>12</v>
      </c>
      <c r="L22" s="2">
        <f>Tableau2[[#This Row],[Phy max]]+Tableau2[[#This Row],[Men max]]+Tableau2[[#This Row],[Cha max]]</f>
        <v>0</v>
      </c>
      <c r="M22" s="2">
        <f>MAX(Tableau2[[#This Row],[Max stats]]-Tableau2[[#This Row],[Min stats]],0)</f>
        <v>0</v>
      </c>
      <c r="N22" s="2" t="s">
        <v>39</v>
      </c>
      <c r="O22" s="1" t="s">
        <v>4</v>
      </c>
      <c r="P22" t="str">
        <f>IFERROR(VLOOKUP(Tableau2[[#This Row],[Alignement]],Alignement[],2,FALSE),"")</f>
        <v>Neutre</v>
      </c>
      <c r="Q22" t="str">
        <f>IFERROR(VLOOKUP(Tableau2[[#This Row],[Alignement]],Alignement[],3,FALSE),"")</f>
        <v>Chaotique</v>
      </c>
      <c r="R22" s="14">
        <f>IF(Tableau2[[#This Row],[Men min]]&lt;8,1,2)</f>
        <v>1</v>
      </c>
      <c r="S22" s="14">
        <f>IF(OR(AND(Tableau2[[#This Row],[Min stats]]&lt;35,Tableau2[[#This Row],[Loyauté]]&lt;&gt;"Loyal"),AND(Tableau2[[#This Row],[Min stats]]&lt;25,Tableau2[[#This Row],[Loyauté]]="Loyal")),1,0)</f>
        <v>1</v>
      </c>
      <c r="T22" s="14">
        <f>IF(Tableau2[[#This Row],[Max stats]]&gt;43,1,0)</f>
        <v>0</v>
      </c>
      <c r="U22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3" spans="1:21" x14ac:dyDescent="0.25">
      <c r="A23" t="s">
        <v>45</v>
      </c>
      <c r="B23" t="str">
        <f>Tableau2[[#This Row],[Phy min]] &amp; " - " &amp; Tableau2[[#This Row],[Phy max]]</f>
        <v xml:space="preserve"> - </v>
      </c>
      <c r="C23" s="2"/>
      <c r="D23" s="2"/>
      <c r="E23" t="str">
        <f>Tableau2[[#This Row],[Men min]] &amp; " - " &amp; Tableau2[[#This Row],[Men max]]</f>
        <v xml:space="preserve">12 - </v>
      </c>
      <c r="F23" s="2">
        <v>12</v>
      </c>
      <c r="G23" s="2"/>
      <c r="H23" t="str">
        <f>Tableau2[[#This Row],[Cha min]] &amp; " - " &amp; Tableau2[[#This Row],[Cha max]]</f>
        <v xml:space="preserve"> - </v>
      </c>
      <c r="I23" s="2"/>
      <c r="J23" s="2"/>
      <c r="K23" s="2">
        <f>Tableau2[[#This Row],[Phy min]]+Tableau2[[#This Row],[Men min]]+Tableau2[[#This Row],[Cha min]]</f>
        <v>12</v>
      </c>
      <c r="L23" s="2">
        <f>Tableau2[[#This Row],[Phy max]]+Tableau2[[#This Row],[Men max]]+Tableau2[[#This Row],[Cha max]]</f>
        <v>0</v>
      </c>
      <c r="M23" s="2">
        <f>MAX(Tableau2[[#This Row],[Max stats]]-Tableau2[[#This Row],[Min stats]],0)</f>
        <v>0</v>
      </c>
      <c r="N23" s="2" t="s">
        <v>42</v>
      </c>
      <c r="O23" s="1" t="s">
        <v>6</v>
      </c>
      <c r="P23" t="str">
        <f>IFERROR(VLOOKUP(Tableau2[[#This Row],[Alignement]],Alignement[],2,FALSE),"")</f>
        <v>Bon</v>
      </c>
      <c r="Q23" t="str">
        <f>IFERROR(VLOOKUP(Tableau2[[#This Row],[Alignement]],Alignement[],3,FALSE),"")</f>
        <v>Chaotique</v>
      </c>
      <c r="R23" s="14">
        <f>IF(Tableau2[[#This Row],[Men min]]&lt;8,1,2)</f>
        <v>2</v>
      </c>
      <c r="S23" s="14">
        <f>IF(OR(AND(Tableau2[[#This Row],[Min stats]]&lt;35,Tableau2[[#This Row],[Loyauté]]&lt;&gt;"Loyal"),AND(Tableau2[[#This Row],[Min stats]]&lt;25,Tableau2[[#This Row],[Loyauté]]="Loyal")),1,0)</f>
        <v>1</v>
      </c>
      <c r="T23" s="14">
        <f>IF(Tableau2[[#This Row],[Max stats]]&gt;43,1,0)</f>
        <v>0</v>
      </c>
      <c r="U23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4" spans="1:21" x14ac:dyDescent="0.25">
      <c r="A24" t="s">
        <v>46</v>
      </c>
      <c r="B24" t="str">
        <f>Tableau2[[#This Row],[Phy min]] &amp; " - " &amp; Tableau2[[#This Row],[Phy max]]</f>
        <v xml:space="preserve"> - </v>
      </c>
      <c r="C24" s="2"/>
      <c r="D24" s="2"/>
      <c r="E24" t="str">
        <f>Tableau2[[#This Row],[Men min]] &amp; " - " &amp; Tableau2[[#This Row],[Men max]]</f>
        <v xml:space="preserve">12 - </v>
      </c>
      <c r="F24" s="2">
        <v>12</v>
      </c>
      <c r="G24" s="2"/>
      <c r="H24" t="str">
        <f>Tableau2[[#This Row],[Cha min]] &amp; " - " &amp; Tableau2[[#This Row],[Cha max]]</f>
        <v xml:space="preserve"> - </v>
      </c>
      <c r="I24" s="2"/>
      <c r="J24" s="2"/>
      <c r="K24" s="2">
        <f>Tableau2[[#This Row],[Phy min]]+Tableau2[[#This Row],[Men min]]+Tableau2[[#This Row],[Cha min]]</f>
        <v>12</v>
      </c>
      <c r="L24" s="2">
        <f>Tableau2[[#This Row],[Phy max]]+Tableau2[[#This Row],[Men max]]+Tableau2[[#This Row],[Cha max]]</f>
        <v>0</v>
      </c>
      <c r="M24" s="2">
        <f>MAX(Tableau2[[#This Row],[Max stats]]-Tableau2[[#This Row],[Min stats]],0)</f>
        <v>0</v>
      </c>
      <c r="N24" s="2" t="s">
        <v>43</v>
      </c>
      <c r="O24" s="1" t="s">
        <v>4</v>
      </c>
      <c r="P24" t="str">
        <f>IFERROR(VLOOKUP(Tableau2[[#This Row],[Alignement]],Alignement[],2,FALSE),"")</f>
        <v>Neutre</v>
      </c>
      <c r="Q24" t="str">
        <f>IFERROR(VLOOKUP(Tableau2[[#This Row],[Alignement]],Alignement[],3,FALSE),"")</f>
        <v>Chaotique</v>
      </c>
      <c r="R24" s="14">
        <f>IF(Tableau2[[#This Row],[Men min]]&lt;8,1,2)</f>
        <v>2</v>
      </c>
      <c r="S24" s="14">
        <f>IF(OR(AND(Tableau2[[#This Row],[Min stats]]&lt;35,Tableau2[[#This Row],[Loyauté]]&lt;&gt;"Loyal"),AND(Tableau2[[#This Row],[Min stats]]&lt;25,Tableau2[[#This Row],[Loyauté]]="Loyal")),1,0)</f>
        <v>1</v>
      </c>
      <c r="T24" s="14">
        <f>IF(Tableau2[[#This Row],[Max stats]]&gt;43,1,0)</f>
        <v>0</v>
      </c>
      <c r="U24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5" spans="1:21" x14ac:dyDescent="0.25">
      <c r="A25" s="1" t="s">
        <v>69</v>
      </c>
      <c r="B25" t="str">
        <f>Tableau2[[#This Row],[Phy min]] &amp; " - " &amp; Tableau2[[#This Row],[Phy max]]</f>
        <v xml:space="preserve"> - </v>
      </c>
      <c r="C25" s="2"/>
      <c r="D25" s="2"/>
      <c r="E25" t="str">
        <f>Tableau2[[#This Row],[Men min]] &amp; " - " &amp; Tableau2[[#This Row],[Men max]]</f>
        <v xml:space="preserve">12 - </v>
      </c>
      <c r="F25" s="2">
        <v>12</v>
      </c>
      <c r="G25" s="2"/>
      <c r="H25" t="str">
        <f>Tableau2[[#This Row],[Cha min]] &amp; " - " &amp; Tableau2[[#This Row],[Cha max]]</f>
        <v xml:space="preserve"> - </v>
      </c>
      <c r="I25" s="2"/>
      <c r="J25" s="2"/>
      <c r="K25" s="2">
        <f>Tableau2[[#This Row],[Phy min]]+Tableau2[[#This Row],[Men min]]+Tableau2[[#This Row],[Cha min]]</f>
        <v>12</v>
      </c>
      <c r="L25" s="2">
        <f>Tableau2[[#This Row],[Phy max]]+Tableau2[[#This Row],[Men max]]+Tableau2[[#This Row],[Cha max]]</f>
        <v>0</v>
      </c>
      <c r="M25" s="2">
        <f>MAX(Tableau2[[#This Row],[Max stats]]-Tableau2[[#This Row],[Min stats]],0)</f>
        <v>0</v>
      </c>
      <c r="N25" s="2" t="s">
        <v>42</v>
      </c>
      <c r="O25" s="1" t="s">
        <v>10</v>
      </c>
      <c r="P25" t="str">
        <f>IFERROR(VLOOKUP(Tableau2[[#This Row],[Alignement]],Alignement[],2,FALSE),"")</f>
        <v>Bon</v>
      </c>
      <c r="Q25" t="str">
        <f>IFERROR(VLOOKUP(Tableau2[[#This Row],[Alignement]],Alignement[],3,FALSE),"")</f>
        <v>Loyal</v>
      </c>
      <c r="R25" s="14">
        <f>IF(Tableau2[[#This Row],[Men min]]&lt;8,1,2)</f>
        <v>2</v>
      </c>
      <c r="S25" s="14">
        <f>IF(OR(AND(Tableau2[[#This Row],[Min stats]]&lt;35,Tableau2[[#This Row],[Loyauté]]&lt;&gt;"Loyal"),AND(Tableau2[[#This Row],[Min stats]]&lt;25,Tableau2[[#This Row],[Loyauté]]="Loyal")),1,0)</f>
        <v>1</v>
      </c>
      <c r="T25" s="14">
        <f>IF(Tableau2[[#This Row],[Max stats]]&gt;43,1,0)</f>
        <v>0</v>
      </c>
      <c r="U25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6" spans="1:21" x14ac:dyDescent="0.25">
      <c r="A26" s="1" t="s">
        <v>56</v>
      </c>
      <c r="B26" t="str">
        <f>Tableau2[[#This Row],[Phy min]] &amp; " - " &amp; Tableau2[[#This Row],[Phy max]]</f>
        <v xml:space="preserve"> - </v>
      </c>
      <c r="C26" s="2"/>
      <c r="D26" s="2"/>
      <c r="E26" t="str">
        <f>Tableau2[[#This Row],[Men min]] &amp; " - " &amp; Tableau2[[#This Row],[Men max]]</f>
        <v xml:space="preserve">12 - </v>
      </c>
      <c r="F26" s="2">
        <v>12</v>
      </c>
      <c r="G26" s="2"/>
      <c r="H26" t="str">
        <f>Tableau2[[#This Row],[Cha min]] &amp; " - " &amp; Tableau2[[#This Row],[Cha max]]</f>
        <v xml:space="preserve"> - </v>
      </c>
      <c r="I26" s="2"/>
      <c r="J26" s="2"/>
      <c r="K26" s="2">
        <f>Tableau2[[#This Row],[Phy min]]+Tableau2[[#This Row],[Men min]]+Tableau2[[#This Row],[Cha min]]</f>
        <v>12</v>
      </c>
      <c r="L26" s="2">
        <f>Tableau2[[#This Row],[Phy max]]+Tableau2[[#This Row],[Men max]]+Tableau2[[#This Row],[Cha max]]</f>
        <v>0</v>
      </c>
      <c r="M26" s="2">
        <f>MAX(Tableau2[[#This Row],[Max stats]]-Tableau2[[#This Row],[Min stats]],0)</f>
        <v>0</v>
      </c>
      <c r="N26" s="2" t="s">
        <v>38</v>
      </c>
      <c r="O26" s="1" t="s">
        <v>5</v>
      </c>
      <c r="P26" t="str">
        <f>IFERROR(VLOOKUP(Tableau2[[#This Row],[Alignement]],Alignement[],2,FALSE),"")</f>
        <v>Neutre</v>
      </c>
      <c r="Q26" t="str">
        <f>IFERROR(VLOOKUP(Tableau2[[#This Row],[Alignement]],Alignement[],3,FALSE),"")</f>
        <v>Neutre</v>
      </c>
      <c r="R26" s="14">
        <f>IF(Tableau2[[#This Row],[Men min]]&lt;8,1,2)</f>
        <v>2</v>
      </c>
      <c r="S26" s="14">
        <f>IF(OR(AND(Tableau2[[#This Row],[Min stats]]&lt;35,Tableau2[[#This Row],[Loyauté]]&lt;&gt;"Loyal"),AND(Tableau2[[#This Row],[Min stats]]&lt;25,Tableau2[[#This Row],[Loyauté]]="Loyal")),1,0)</f>
        <v>1</v>
      </c>
      <c r="T26" s="14">
        <f>IF(Tableau2[[#This Row],[Max stats]]&gt;43,1,0)</f>
        <v>0</v>
      </c>
      <c r="U26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7" spans="1:21" x14ac:dyDescent="0.25">
      <c r="A27" s="1" t="s">
        <v>60</v>
      </c>
      <c r="B27" t="str">
        <f>Tableau2[[#This Row],[Phy min]] &amp; " - " &amp; Tableau2[[#This Row],[Phy max]]</f>
        <v xml:space="preserve"> - </v>
      </c>
      <c r="C27" s="2"/>
      <c r="D27" s="2"/>
      <c r="E27" t="str">
        <f>Tableau2[[#This Row],[Men min]] &amp; " - " &amp; Tableau2[[#This Row],[Men max]]</f>
        <v xml:space="preserve">12 - </v>
      </c>
      <c r="F27" s="2">
        <v>12</v>
      </c>
      <c r="G27" s="2"/>
      <c r="H27" t="str">
        <f>Tableau2[[#This Row],[Cha min]] &amp; " - " &amp; Tableau2[[#This Row],[Cha max]]</f>
        <v xml:space="preserve"> - </v>
      </c>
      <c r="I27" s="2"/>
      <c r="J27" s="2"/>
      <c r="K27" s="2">
        <f>Tableau2[[#This Row],[Phy min]]+Tableau2[[#This Row],[Men min]]+Tableau2[[#This Row],[Cha min]]</f>
        <v>12</v>
      </c>
      <c r="L27" s="2">
        <f>Tableau2[[#This Row],[Phy max]]+Tableau2[[#This Row],[Men max]]+Tableau2[[#This Row],[Cha max]]</f>
        <v>0</v>
      </c>
      <c r="M27" s="2">
        <f>MAX(Tableau2[[#This Row],[Max stats]]-Tableau2[[#This Row],[Min stats]],0)</f>
        <v>0</v>
      </c>
      <c r="N27" s="2" t="s">
        <v>42</v>
      </c>
      <c r="O27" s="1" t="s">
        <v>0</v>
      </c>
      <c r="P27" t="str">
        <f>IFERROR(VLOOKUP(Tableau2[[#This Row],[Alignement]],Alignement[],2,FALSE),"")</f>
        <v>Mauvais</v>
      </c>
      <c r="Q27" t="str">
        <f>IFERROR(VLOOKUP(Tableau2[[#This Row],[Alignement]],Alignement[],3,FALSE),"")</f>
        <v>Neutre</v>
      </c>
      <c r="R27" s="14">
        <f>IF(Tableau2[[#This Row],[Men min]]&lt;8,1,2)</f>
        <v>2</v>
      </c>
      <c r="S27" s="14">
        <f>IF(OR(AND(Tableau2[[#This Row],[Min stats]]&lt;35,Tableau2[[#This Row],[Loyauté]]&lt;&gt;"Loyal"),AND(Tableau2[[#This Row],[Min stats]]&lt;25,Tableau2[[#This Row],[Loyauté]]="Loyal")),1,0)</f>
        <v>1</v>
      </c>
      <c r="T27" s="14">
        <f>IF(Tableau2[[#This Row],[Max stats]]&gt;43,1,0)</f>
        <v>0</v>
      </c>
      <c r="U27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8" spans="1:21" x14ac:dyDescent="0.25">
      <c r="A28" s="1" t="s">
        <v>55</v>
      </c>
      <c r="B28" t="str">
        <f>Tableau2[[#This Row],[Phy min]] &amp; " - " &amp; Tableau2[[#This Row],[Phy max]]</f>
        <v xml:space="preserve"> - </v>
      </c>
      <c r="C28" s="2"/>
      <c r="D28" s="2"/>
      <c r="E28" t="str">
        <f>Tableau2[[#This Row],[Men min]] &amp; " - " &amp; Tableau2[[#This Row],[Men max]]</f>
        <v xml:space="preserve">15 - </v>
      </c>
      <c r="F28" s="2">
        <v>15</v>
      </c>
      <c r="G28" s="2"/>
      <c r="H28" t="str">
        <f>Tableau2[[#This Row],[Cha min]] &amp; " - " &amp; Tableau2[[#This Row],[Cha max]]</f>
        <v xml:space="preserve"> - </v>
      </c>
      <c r="I28" s="2"/>
      <c r="J28" s="2"/>
      <c r="K28" s="2">
        <f>Tableau2[[#This Row],[Phy min]]+Tableau2[[#This Row],[Men min]]+Tableau2[[#This Row],[Cha min]]</f>
        <v>15</v>
      </c>
      <c r="L28" s="2">
        <f>Tableau2[[#This Row],[Phy max]]+Tableau2[[#This Row],[Men max]]+Tableau2[[#This Row],[Cha max]]</f>
        <v>0</v>
      </c>
      <c r="M28" s="2">
        <f>MAX(Tableau2[[#This Row],[Max stats]]-Tableau2[[#This Row],[Min stats]],0)</f>
        <v>0</v>
      </c>
      <c r="N28" s="2" t="s">
        <v>41</v>
      </c>
      <c r="O28" s="1" t="s">
        <v>8</v>
      </c>
      <c r="P28" t="str">
        <f>IFERROR(VLOOKUP(Tableau2[[#This Row],[Alignement]],Alignement[],2,FALSE),"")</f>
        <v>Mauvais</v>
      </c>
      <c r="Q28" t="str">
        <f>IFERROR(VLOOKUP(Tableau2[[#This Row],[Alignement]],Alignement[],3,FALSE),"")</f>
        <v>Chaotique</v>
      </c>
      <c r="R28" s="14">
        <f>IF(Tableau2[[#This Row],[Men min]]&lt;8,1,2)</f>
        <v>2</v>
      </c>
      <c r="S28" s="14">
        <f>IF(OR(AND(Tableau2[[#This Row],[Min stats]]&lt;35,Tableau2[[#This Row],[Loyauté]]&lt;&gt;"Loyal"),AND(Tableau2[[#This Row],[Min stats]]&lt;25,Tableau2[[#This Row],[Loyauté]]="Loyal")),1,0)</f>
        <v>1</v>
      </c>
      <c r="T28" s="14">
        <f>IF(Tableau2[[#This Row],[Max stats]]&gt;43,1,0)</f>
        <v>0</v>
      </c>
      <c r="U28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9" spans="1:21" x14ac:dyDescent="0.25">
      <c r="A29" s="1" t="s">
        <v>21</v>
      </c>
      <c r="B29" t="str">
        <f>Tableau2[[#This Row],[Phy min]] &amp; " - " &amp; Tableau2[[#This Row],[Phy max]]</f>
        <v xml:space="preserve"> - </v>
      </c>
      <c r="C29" s="2"/>
      <c r="D29" s="2"/>
      <c r="E29" t="str">
        <f>Tableau2[[#This Row],[Men min]] &amp; " - " &amp; Tableau2[[#This Row],[Men max]]</f>
        <v xml:space="preserve">15 - </v>
      </c>
      <c r="F29" s="2">
        <v>15</v>
      </c>
      <c r="G29" s="2"/>
      <c r="H29" t="str">
        <f>Tableau2[[#This Row],[Cha min]] &amp; " - " &amp; Tableau2[[#This Row],[Cha max]]</f>
        <v xml:space="preserve"> - </v>
      </c>
      <c r="I29" s="2"/>
      <c r="J29" s="2"/>
      <c r="K29" s="2">
        <f>Tableau2[[#This Row],[Phy min]]+Tableau2[[#This Row],[Men min]]+Tableau2[[#This Row],[Cha min]]</f>
        <v>15</v>
      </c>
      <c r="L29" s="2">
        <f>Tableau2[[#This Row],[Phy max]]+Tableau2[[#This Row],[Men max]]+Tableau2[[#This Row],[Cha max]]</f>
        <v>0</v>
      </c>
      <c r="M29" s="2">
        <f>MAX(Tableau2[[#This Row],[Max stats]]-Tableau2[[#This Row],[Min stats]],0)</f>
        <v>0</v>
      </c>
      <c r="N29" s="2" t="s">
        <v>41</v>
      </c>
      <c r="O29" s="1" t="s">
        <v>9</v>
      </c>
      <c r="P29" t="str">
        <f>IFERROR(VLOOKUP(Tableau2[[#This Row],[Alignement]],Alignement[],2,FALSE),"")</f>
        <v>Neutre</v>
      </c>
      <c r="Q29" t="str">
        <f>IFERROR(VLOOKUP(Tableau2[[#This Row],[Alignement]],Alignement[],3,FALSE),"")</f>
        <v>Loyal</v>
      </c>
      <c r="R29" s="14">
        <f>IF(Tableau2[[#This Row],[Men min]]&lt;8,1,2)</f>
        <v>2</v>
      </c>
      <c r="S29" s="14">
        <f>IF(OR(AND(Tableau2[[#This Row],[Min stats]]&lt;35,Tableau2[[#This Row],[Loyauté]]&lt;&gt;"Loyal"),AND(Tableau2[[#This Row],[Min stats]]&lt;25,Tableau2[[#This Row],[Loyauté]]="Loyal")),1,0)</f>
        <v>1</v>
      </c>
      <c r="T29" s="14">
        <f>IF(Tableau2[[#This Row],[Max stats]]&gt;43,1,0)</f>
        <v>0</v>
      </c>
      <c r="U29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30" spans="1:21" x14ac:dyDescent="0.25">
      <c r="A30" s="1" t="s">
        <v>54</v>
      </c>
      <c r="B30" t="str">
        <f>Tableau2[[#This Row],[Phy min]] &amp; " - " &amp; Tableau2[[#This Row],[Phy max]]</f>
        <v xml:space="preserve"> - </v>
      </c>
      <c r="C30" s="2"/>
      <c r="D30" s="2"/>
      <c r="E30" t="str">
        <f>Tableau2[[#This Row],[Men min]] &amp; " - " &amp; Tableau2[[#This Row],[Men max]]</f>
        <v xml:space="preserve">15 - </v>
      </c>
      <c r="F30" s="2">
        <v>15</v>
      </c>
      <c r="G30" s="2"/>
      <c r="H30" t="str">
        <f>Tableau2[[#This Row],[Cha min]] &amp; " - " &amp; Tableau2[[#This Row],[Cha max]]</f>
        <v xml:space="preserve"> - </v>
      </c>
      <c r="I30" s="2"/>
      <c r="J30" s="2"/>
      <c r="K30" s="2">
        <f>Tableau2[[#This Row],[Phy min]]+Tableau2[[#This Row],[Men min]]+Tableau2[[#This Row],[Cha min]]</f>
        <v>15</v>
      </c>
      <c r="L30" s="2">
        <f>Tableau2[[#This Row],[Phy max]]+Tableau2[[#This Row],[Men max]]+Tableau2[[#This Row],[Cha max]]</f>
        <v>0</v>
      </c>
      <c r="M30" s="2">
        <f>MAX(Tableau2[[#This Row],[Max stats]]-Tableau2[[#This Row],[Min stats]],0)</f>
        <v>0</v>
      </c>
      <c r="N30" s="2" t="s">
        <v>39</v>
      </c>
      <c r="O30" s="1" t="s">
        <v>5</v>
      </c>
      <c r="P30" t="str">
        <f>IFERROR(VLOOKUP(Tableau2[[#This Row],[Alignement]],Alignement[],2,FALSE),"")</f>
        <v>Neutre</v>
      </c>
      <c r="Q30" t="str">
        <f>IFERROR(VLOOKUP(Tableau2[[#This Row],[Alignement]],Alignement[],3,FALSE),"")</f>
        <v>Neutre</v>
      </c>
      <c r="R30" s="14">
        <f>IF(Tableau2[[#This Row],[Men min]]&lt;8,1,2)</f>
        <v>2</v>
      </c>
      <c r="S30" s="14">
        <f>IF(OR(AND(Tableau2[[#This Row],[Min stats]]&lt;35,Tableau2[[#This Row],[Loyauté]]&lt;&gt;"Loyal"),AND(Tableau2[[#This Row],[Min stats]]&lt;25,Tableau2[[#This Row],[Loyauté]]="Loyal")),1,0)</f>
        <v>1</v>
      </c>
      <c r="T30" s="14">
        <f>IF(Tableau2[[#This Row],[Max stats]]&gt;43,1,0)</f>
        <v>0</v>
      </c>
      <c r="U30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31" spans="1:21" x14ac:dyDescent="0.25">
      <c r="A31" s="1" t="s">
        <v>20</v>
      </c>
      <c r="B31" t="str">
        <f>Tableau2[[#This Row],[Phy min]] &amp; " - " &amp; Tableau2[[#This Row],[Phy max]]</f>
        <v xml:space="preserve">15 - </v>
      </c>
      <c r="C31" s="2">
        <v>15</v>
      </c>
      <c r="D31" s="2"/>
      <c r="E31" t="str">
        <f>Tableau2[[#This Row],[Men min]] &amp; " - " &amp; Tableau2[[#This Row],[Men max]]</f>
        <v xml:space="preserve">3 - </v>
      </c>
      <c r="F31" s="2">
        <v>3</v>
      </c>
      <c r="G31" s="2"/>
      <c r="H31" t="str">
        <f>Tableau2[[#This Row],[Cha min]] &amp; " - " &amp; Tableau2[[#This Row],[Cha max]]</f>
        <v xml:space="preserve"> - </v>
      </c>
      <c r="I31" s="2"/>
      <c r="J31" s="2"/>
      <c r="K31" s="2">
        <f>Tableau2[[#This Row],[Phy min]]+Tableau2[[#This Row],[Men min]]+Tableau2[[#This Row],[Cha min]]</f>
        <v>18</v>
      </c>
      <c r="L31" s="2">
        <f>Tableau2[[#This Row],[Phy max]]+Tableau2[[#This Row],[Men max]]+Tableau2[[#This Row],[Cha max]]</f>
        <v>0</v>
      </c>
      <c r="M31" s="2">
        <f>MAX(Tableau2[[#This Row],[Max stats]]-Tableau2[[#This Row],[Min stats]],0)</f>
        <v>0</v>
      </c>
      <c r="N31" s="2" t="s">
        <v>38</v>
      </c>
      <c r="O31" s="1" t="s">
        <v>8</v>
      </c>
      <c r="P31" t="str">
        <f>IFERROR(VLOOKUP(Tableau2[[#This Row],[Alignement]],Alignement[],2,FALSE),"")</f>
        <v>Mauvais</v>
      </c>
      <c r="Q31" t="str">
        <f>IFERROR(VLOOKUP(Tableau2[[#This Row],[Alignement]],Alignement[],3,FALSE),"")</f>
        <v>Chaotique</v>
      </c>
      <c r="R31" s="14">
        <f>IF(Tableau2[[#This Row],[Men min]]&lt;8,1,2)</f>
        <v>1</v>
      </c>
      <c r="S31" s="14">
        <f>IF(OR(AND(Tableau2[[#This Row],[Min stats]]&lt;35,Tableau2[[#This Row],[Loyauté]]&lt;&gt;"Loyal"),AND(Tableau2[[#This Row],[Min stats]]&lt;25,Tableau2[[#This Row],[Loyauté]]="Loyal")),1,0)</f>
        <v>1</v>
      </c>
      <c r="T31" s="14">
        <f>IF(Tableau2[[#This Row],[Max stats]]&gt;43,1,0)</f>
        <v>0</v>
      </c>
      <c r="U31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32" spans="1:21" x14ac:dyDescent="0.25">
      <c r="A32" s="1" t="s">
        <v>64</v>
      </c>
      <c r="B32" t="str">
        <f>Tableau2[[#This Row],[Phy min]] &amp; " - " &amp; Tableau2[[#This Row],[Phy max]]</f>
        <v xml:space="preserve">15 - </v>
      </c>
      <c r="C32" s="2">
        <v>15</v>
      </c>
      <c r="D32" s="2"/>
      <c r="E32" t="str">
        <f>Tableau2[[#This Row],[Men min]] &amp; " - " &amp; Tableau2[[#This Row],[Men max]]</f>
        <v xml:space="preserve">3 - </v>
      </c>
      <c r="F32" s="2">
        <v>3</v>
      </c>
      <c r="G32" s="2"/>
      <c r="H32" t="str">
        <f>Tableau2[[#This Row],[Cha min]] &amp; " - " &amp; Tableau2[[#This Row],[Cha max]]</f>
        <v xml:space="preserve"> - </v>
      </c>
      <c r="I32" s="2"/>
      <c r="J32" s="2"/>
      <c r="K32" s="2">
        <f>Tableau2[[#This Row],[Phy min]]+Tableau2[[#This Row],[Men min]]+Tableau2[[#This Row],[Cha min]]</f>
        <v>18</v>
      </c>
      <c r="L32" s="2">
        <f>Tableau2[[#This Row],[Phy max]]+Tableau2[[#This Row],[Men max]]+Tableau2[[#This Row],[Cha max]]</f>
        <v>0</v>
      </c>
      <c r="M32" s="2">
        <f>MAX(Tableau2[[#This Row],[Max stats]]-Tableau2[[#This Row],[Min stats]],0)</f>
        <v>0</v>
      </c>
      <c r="N32" s="2" t="s">
        <v>40</v>
      </c>
      <c r="O32" s="1" t="s">
        <v>0</v>
      </c>
      <c r="P32" t="str">
        <f>IFERROR(VLOOKUP(Tableau2[[#This Row],[Alignement]],Alignement[],2,FALSE),"")</f>
        <v>Mauvais</v>
      </c>
      <c r="Q32" t="str">
        <f>IFERROR(VLOOKUP(Tableau2[[#This Row],[Alignement]],Alignement[],3,FALSE),"")</f>
        <v>Neutre</v>
      </c>
      <c r="R32" s="14">
        <f>IF(Tableau2[[#This Row],[Men min]]&lt;8,1,2)</f>
        <v>1</v>
      </c>
      <c r="S32" s="14">
        <f>IF(OR(AND(Tableau2[[#This Row],[Min stats]]&lt;35,Tableau2[[#This Row],[Loyauté]]&lt;&gt;"Loyal"),AND(Tableau2[[#This Row],[Min stats]]&lt;25,Tableau2[[#This Row],[Loyauté]]="Loyal")),1,0)</f>
        <v>1</v>
      </c>
      <c r="T32" s="14">
        <f>IF(Tableau2[[#This Row],[Max stats]]&gt;43,1,0)</f>
        <v>0</v>
      </c>
      <c r="U32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33" spans="1:21" x14ac:dyDescent="0.25">
      <c r="A33" s="1" t="s">
        <v>59</v>
      </c>
      <c r="B33" t="str">
        <f>Tableau2[[#This Row],[Phy min]] &amp; " - " &amp; Tableau2[[#This Row],[Phy max]]</f>
        <v xml:space="preserve">15 - </v>
      </c>
      <c r="C33" s="2">
        <v>15</v>
      </c>
      <c r="D33" s="2"/>
      <c r="E33" t="str">
        <f>Tableau2[[#This Row],[Men min]] &amp; " - " &amp; Tableau2[[#This Row],[Men max]]</f>
        <v xml:space="preserve">5 - </v>
      </c>
      <c r="F33" s="2">
        <v>5</v>
      </c>
      <c r="G33" s="2"/>
      <c r="H33" t="str">
        <f>Tableau2[[#This Row],[Cha min]] &amp; " - " &amp; Tableau2[[#This Row],[Cha max]]</f>
        <v xml:space="preserve"> - </v>
      </c>
      <c r="I33" s="2"/>
      <c r="J33" s="2"/>
      <c r="K33" s="2">
        <f>Tableau2[[#This Row],[Phy min]]+Tableau2[[#This Row],[Men min]]+Tableau2[[#This Row],[Cha min]]</f>
        <v>20</v>
      </c>
      <c r="L33" s="2">
        <f>Tableau2[[#This Row],[Phy max]]+Tableau2[[#This Row],[Men max]]+Tableau2[[#This Row],[Cha max]]</f>
        <v>0</v>
      </c>
      <c r="M33" s="2">
        <f>MAX(Tableau2[[#This Row],[Max stats]]-Tableau2[[#This Row],[Min stats]],0)</f>
        <v>0</v>
      </c>
      <c r="N33" s="2" t="s">
        <v>40</v>
      </c>
      <c r="O33" s="1" t="s">
        <v>4</v>
      </c>
      <c r="P33" t="str">
        <f>IFERROR(VLOOKUP(Tableau2[[#This Row],[Alignement]],Alignement[],2,FALSE),"")</f>
        <v>Neutre</v>
      </c>
      <c r="Q33" t="str">
        <f>IFERROR(VLOOKUP(Tableau2[[#This Row],[Alignement]],Alignement[],3,FALSE),"")</f>
        <v>Chaotique</v>
      </c>
      <c r="R33" s="14">
        <f>IF(Tableau2[[#This Row],[Men min]]&lt;8,1,2)</f>
        <v>1</v>
      </c>
      <c r="S33" s="14">
        <f>IF(OR(AND(Tableau2[[#This Row],[Min stats]]&lt;35,Tableau2[[#This Row],[Loyauté]]&lt;&gt;"Loyal"),AND(Tableau2[[#This Row],[Min stats]]&lt;25,Tableau2[[#This Row],[Loyauté]]="Loyal")),1,0)</f>
        <v>1</v>
      </c>
      <c r="T33" s="14">
        <f>IF(Tableau2[[#This Row],[Max stats]]&gt;43,1,0)</f>
        <v>0</v>
      </c>
      <c r="U33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34" spans="1:21" x14ac:dyDescent="0.25">
      <c r="A34" s="1" t="s">
        <v>71</v>
      </c>
      <c r="B34" t="str">
        <f>Tableau2[[#This Row],[Phy min]] &amp; " - " &amp; Tableau2[[#This Row],[Phy max]]</f>
        <v xml:space="preserve">12 - </v>
      </c>
      <c r="C34" s="2">
        <v>12</v>
      </c>
      <c r="D34" s="2"/>
      <c r="E34" t="str">
        <f>Tableau2[[#This Row],[Men min]] &amp; " - " &amp; Tableau2[[#This Row],[Men max]]</f>
        <v xml:space="preserve">8 - </v>
      </c>
      <c r="F34" s="2">
        <v>8</v>
      </c>
      <c r="G34" s="2"/>
      <c r="H34" t="str">
        <f>Tableau2[[#This Row],[Cha min]] &amp; " - " &amp; Tableau2[[#This Row],[Cha max]]</f>
        <v xml:space="preserve"> - </v>
      </c>
      <c r="I34" s="2"/>
      <c r="J34" s="2"/>
      <c r="K34" s="2">
        <f>Tableau2[[#This Row],[Phy min]]+Tableau2[[#This Row],[Men min]]+Tableau2[[#This Row],[Cha min]]</f>
        <v>20</v>
      </c>
      <c r="L34" s="2">
        <f>Tableau2[[#This Row],[Phy max]]+Tableau2[[#This Row],[Men max]]+Tableau2[[#This Row],[Cha max]]</f>
        <v>0</v>
      </c>
      <c r="M34" s="2">
        <f>MAX(Tableau2[[#This Row],[Max stats]]-Tableau2[[#This Row],[Min stats]],0)</f>
        <v>0</v>
      </c>
      <c r="N34" s="2" t="s">
        <v>44</v>
      </c>
      <c r="O34" s="1" t="s">
        <v>7</v>
      </c>
      <c r="P34" t="str">
        <f>IFERROR(VLOOKUP(Tableau2[[#This Row],[Alignement]],Alignement[],2,FALSE),"")</f>
        <v>Bon</v>
      </c>
      <c r="Q34" t="str">
        <f>IFERROR(VLOOKUP(Tableau2[[#This Row],[Alignement]],Alignement[],3,FALSE),"")</f>
        <v>Neutre</v>
      </c>
      <c r="R34" s="14">
        <f>IF(Tableau2[[#This Row],[Men min]]&lt;8,1,2)</f>
        <v>2</v>
      </c>
      <c r="S34" s="14">
        <f>IF(OR(AND(Tableau2[[#This Row],[Min stats]]&lt;35,Tableau2[[#This Row],[Loyauté]]&lt;&gt;"Loyal"),AND(Tableau2[[#This Row],[Min stats]]&lt;25,Tableau2[[#This Row],[Loyauté]]="Loyal")),1,0)</f>
        <v>1</v>
      </c>
      <c r="T34" s="14">
        <f>IF(Tableau2[[#This Row],[Max stats]]&gt;43,1,0)</f>
        <v>0</v>
      </c>
      <c r="U34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35" spans="1:21" x14ac:dyDescent="0.25">
      <c r="A35" s="1" t="s">
        <v>25</v>
      </c>
      <c r="B35" t="str">
        <f>Tableau2[[#This Row],[Phy min]] &amp; " - " &amp; Tableau2[[#This Row],[Phy max]]</f>
        <v>15 - 30</v>
      </c>
      <c r="C35" s="2">
        <v>15</v>
      </c>
      <c r="D35" s="2">
        <v>30</v>
      </c>
      <c r="E35" t="str">
        <f>Tableau2[[#This Row],[Men min]] &amp; " - " &amp; Tableau2[[#This Row],[Men max]]</f>
        <v>3 - 10</v>
      </c>
      <c r="F35" s="2">
        <v>3</v>
      </c>
      <c r="G35" s="2">
        <v>10</v>
      </c>
      <c r="H35" t="str">
        <f>Tableau2[[#This Row],[Cha min]] &amp; " - " &amp; Tableau2[[#This Row],[Cha max]]</f>
        <v>8 - 20</v>
      </c>
      <c r="I35" s="2">
        <v>8</v>
      </c>
      <c r="J35" s="2">
        <v>20</v>
      </c>
      <c r="K35" s="2">
        <f>Tableau2[[#This Row],[Phy min]]+Tableau2[[#This Row],[Men min]]+Tableau2[[#This Row],[Cha min]]</f>
        <v>26</v>
      </c>
      <c r="L35" s="2">
        <f>Tableau2[[#This Row],[Phy max]]+Tableau2[[#This Row],[Men max]]+Tableau2[[#This Row],[Cha max]]</f>
        <v>60</v>
      </c>
      <c r="M35" s="2">
        <f>MAX(Tableau2[[#This Row],[Max stats]]-Tableau2[[#This Row],[Min stats]],0)</f>
        <v>34</v>
      </c>
      <c r="N35" s="2" t="s">
        <v>40</v>
      </c>
      <c r="O35" s="1" t="s">
        <v>4</v>
      </c>
      <c r="P35" t="str">
        <f>IFERROR(VLOOKUP(Tableau2[[#This Row],[Alignement]],Alignement[],2,FALSE),"")</f>
        <v>Neutre</v>
      </c>
      <c r="Q35" t="str">
        <f>IFERROR(VLOOKUP(Tableau2[[#This Row],[Alignement]],Alignement[],3,FALSE),"")</f>
        <v>Chaotique</v>
      </c>
      <c r="R35" s="14">
        <f>IF(Tableau2[[#This Row],[Men min]]&lt;8,1,2)</f>
        <v>1</v>
      </c>
      <c r="S35" s="14">
        <f>IF(OR(AND(Tableau2[[#This Row],[Min stats]]&lt;35,Tableau2[[#This Row],[Loyauté]]&lt;&gt;"Loyal"),AND(Tableau2[[#This Row],[Min stats]]&lt;25,Tableau2[[#This Row],[Loyauté]]="Loyal")),1,0)</f>
        <v>1</v>
      </c>
      <c r="T35" s="14">
        <f>IF(Tableau2[[#This Row],[Max stats]]&gt;43,1,0)</f>
        <v>1</v>
      </c>
      <c r="U35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1</v>
      </c>
    </row>
    <row r="36" spans="1:21" x14ac:dyDescent="0.25">
      <c r="A36" s="1" t="s">
        <v>24</v>
      </c>
      <c r="B36" t="str">
        <f>Tableau2[[#This Row],[Phy min]] &amp; " - " &amp; Tableau2[[#This Row],[Phy max]]</f>
        <v>3 - 10</v>
      </c>
      <c r="C36" s="2">
        <v>3</v>
      </c>
      <c r="D36" s="2">
        <v>10</v>
      </c>
      <c r="E36" t="str">
        <f>Tableau2[[#This Row],[Men min]] &amp; " - " &amp; Tableau2[[#This Row],[Men max]]</f>
        <v>15 - 30</v>
      </c>
      <c r="F36" s="2">
        <v>15</v>
      </c>
      <c r="G36" s="2">
        <v>30</v>
      </c>
      <c r="H36" t="str">
        <f>Tableau2[[#This Row],[Cha min]] &amp; " - " &amp; Tableau2[[#This Row],[Cha max]]</f>
        <v>10 - 18</v>
      </c>
      <c r="I36" s="2">
        <v>10</v>
      </c>
      <c r="J36" s="2">
        <v>18</v>
      </c>
      <c r="K36" s="2">
        <f>Tableau2[[#This Row],[Phy min]]+Tableau2[[#This Row],[Men min]]+Tableau2[[#This Row],[Cha min]]</f>
        <v>28</v>
      </c>
      <c r="L36" s="2">
        <f>Tableau2[[#This Row],[Phy max]]+Tableau2[[#This Row],[Men max]]+Tableau2[[#This Row],[Cha max]]</f>
        <v>58</v>
      </c>
      <c r="M36" s="2">
        <f>MAX(Tableau2[[#This Row],[Max stats]]-Tableau2[[#This Row],[Min stats]],0)</f>
        <v>30</v>
      </c>
      <c r="N36" s="2" t="s">
        <v>41</v>
      </c>
      <c r="O36" s="1" t="s">
        <v>4</v>
      </c>
      <c r="P36" t="str">
        <f>IFERROR(VLOOKUP(Tableau2[[#This Row],[Alignement]],Alignement[],2,FALSE),"")</f>
        <v>Neutre</v>
      </c>
      <c r="Q36" t="str">
        <f>IFERROR(VLOOKUP(Tableau2[[#This Row],[Alignement]],Alignement[],3,FALSE),"")</f>
        <v>Chaotique</v>
      </c>
      <c r="R36" s="14">
        <f>IF(Tableau2[[#This Row],[Men min]]&lt;8,1,2)</f>
        <v>2</v>
      </c>
      <c r="S36" s="14">
        <f>IF(OR(AND(Tableau2[[#This Row],[Min stats]]&lt;35,Tableau2[[#This Row],[Loyauté]]&lt;&gt;"Loyal"),AND(Tableau2[[#This Row],[Min stats]]&lt;25,Tableau2[[#This Row],[Loyauté]]="Loyal")),1,0)</f>
        <v>1</v>
      </c>
      <c r="T36" s="14">
        <f>IF(Tableau2[[#This Row],[Max stats]]&gt;43,1,0)</f>
        <v>1</v>
      </c>
      <c r="U36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1</v>
      </c>
    </row>
    <row r="37" spans="1:21" x14ac:dyDescent="0.25">
      <c r="A37" s="1" t="s">
        <v>26</v>
      </c>
      <c r="B37" t="str">
        <f>Tableau2[[#This Row],[Phy min]] &amp; " - " &amp; Tableau2[[#This Row],[Phy max]]</f>
        <v>10 - 20</v>
      </c>
      <c r="C37" s="2">
        <v>10</v>
      </c>
      <c r="D37" s="2">
        <v>20</v>
      </c>
      <c r="E37" t="str">
        <f>Tableau2[[#This Row],[Men min]] &amp; " - " &amp; Tableau2[[#This Row],[Men max]]</f>
        <v>8 - 20</v>
      </c>
      <c r="F37" s="2">
        <v>8</v>
      </c>
      <c r="G37" s="2">
        <v>20</v>
      </c>
      <c r="H37" t="str">
        <f>Tableau2[[#This Row],[Cha min]] &amp; " - " &amp; Tableau2[[#This Row],[Cha max]]</f>
        <v>12 - 25</v>
      </c>
      <c r="I37" s="2">
        <v>12</v>
      </c>
      <c r="J37" s="2">
        <v>25</v>
      </c>
      <c r="K37" s="2">
        <f>Tableau2[[#This Row],[Phy min]]+Tableau2[[#This Row],[Men min]]+Tableau2[[#This Row],[Cha min]]</f>
        <v>30</v>
      </c>
      <c r="L37" s="2">
        <f>Tableau2[[#This Row],[Phy max]]+Tableau2[[#This Row],[Men max]]+Tableau2[[#This Row],[Cha max]]</f>
        <v>65</v>
      </c>
      <c r="M37" s="2">
        <f>MAX(Tableau2[[#This Row],[Max stats]]-Tableau2[[#This Row],[Min stats]],0)</f>
        <v>35</v>
      </c>
      <c r="N37" s="2" t="s">
        <v>39</v>
      </c>
      <c r="O37" s="1" t="s">
        <v>0</v>
      </c>
      <c r="P37" t="str">
        <f>IFERROR(VLOOKUP(Tableau2[[#This Row],[Alignement]],Alignement[],2,FALSE),"")</f>
        <v>Mauvais</v>
      </c>
      <c r="Q37" t="str">
        <f>IFERROR(VLOOKUP(Tableau2[[#This Row],[Alignement]],Alignement[],3,FALSE),"")</f>
        <v>Neutre</v>
      </c>
      <c r="R37" s="14">
        <f>IF(Tableau2[[#This Row],[Men min]]&lt;8,1,2)</f>
        <v>2</v>
      </c>
      <c r="S37" s="14">
        <f>IF(OR(AND(Tableau2[[#This Row],[Min stats]]&lt;35,Tableau2[[#This Row],[Loyauté]]&lt;&gt;"Loyal"),AND(Tableau2[[#This Row],[Min stats]]&lt;25,Tableau2[[#This Row],[Loyauté]]="Loyal")),1,0)</f>
        <v>1</v>
      </c>
      <c r="T37" s="14">
        <f>IF(Tableau2[[#This Row],[Max stats]]&gt;43,1,0)</f>
        <v>1</v>
      </c>
      <c r="U37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1</v>
      </c>
    </row>
  </sheetData>
  <phoneticPr fontId="2" type="noConversion"/>
  <conditionalFormatting sqref="R2:R37">
    <cfRule type="iconSet" priority="1">
      <iconSet showValue="0">
        <cfvo type="percent" val="0"/>
        <cfvo type="num" val="1"/>
        <cfvo type="num" val="2"/>
      </iconSet>
    </cfRule>
  </conditionalFormatting>
  <conditionalFormatting sqref="S2:U37">
    <cfRule type="iconSet" priority="2">
      <iconSet showValue="0">
        <cfvo type="percent" val="0"/>
        <cfvo type="num" val="1"/>
        <cfvo type="num" val="1"/>
      </iconSet>
    </cfRule>
  </conditionalFormatting>
  <dataValidations count="1">
    <dataValidation type="list" allowBlank="1" showInputMessage="1" showErrorMessage="1" sqref="N2:N37" xr:uid="{A9E7DB20-FB37-4EA8-AAF6-122D29DBF46D}">
      <formula1>"Force,Dextérité,Résilience,Intelligence,Curiosité,Éloquence,Psyché"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8B0C54A-5B8D-4118-8C8F-ED0130624CA2}">
          <x14:formula1>
            <xm:f>Feuil2!$A$2:$A$10</xm:f>
          </x14:formula1>
          <xm:sqref>O2:O37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AF726-0DDD-41DD-9FD1-BB03B62862CE}">
  <dimension ref="A1:C10"/>
  <sheetViews>
    <sheetView workbookViewId="0">
      <selection activeCell="A2" sqref="A2"/>
    </sheetView>
  </sheetViews>
  <sheetFormatPr baseColWidth="10" defaultRowHeight="15" x14ac:dyDescent="0.25"/>
  <cols>
    <col min="1" max="1" width="18" bestFit="1" customWidth="1"/>
  </cols>
  <sheetData>
    <row r="1" spans="1:3" x14ac:dyDescent="0.25">
      <c r="A1" t="s">
        <v>3</v>
      </c>
      <c r="B1" t="s">
        <v>1</v>
      </c>
      <c r="C1" t="s">
        <v>2</v>
      </c>
    </row>
    <row r="2" spans="1:3" x14ac:dyDescent="0.25">
      <c r="A2" t="s">
        <v>10</v>
      </c>
      <c r="B2" t="s">
        <v>15</v>
      </c>
      <c r="C2" t="s">
        <v>12</v>
      </c>
    </row>
    <row r="3" spans="1:3" x14ac:dyDescent="0.25">
      <c r="A3" t="s">
        <v>9</v>
      </c>
      <c r="B3" t="s">
        <v>5</v>
      </c>
      <c r="C3" t="s">
        <v>12</v>
      </c>
    </row>
    <row r="4" spans="1:3" x14ac:dyDescent="0.25">
      <c r="A4" t="s">
        <v>11</v>
      </c>
      <c r="B4" t="s">
        <v>14</v>
      </c>
      <c r="C4" t="s">
        <v>12</v>
      </c>
    </row>
    <row r="5" spans="1:3" x14ac:dyDescent="0.25">
      <c r="A5" t="s">
        <v>7</v>
      </c>
      <c r="B5" t="s">
        <v>15</v>
      </c>
      <c r="C5" t="s">
        <v>5</v>
      </c>
    </row>
    <row r="6" spans="1:3" x14ac:dyDescent="0.25">
      <c r="A6" t="s">
        <v>5</v>
      </c>
      <c r="B6" t="s">
        <v>5</v>
      </c>
      <c r="C6" t="s">
        <v>5</v>
      </c>
    </row>
    <row r="7" spans="1:3" x14ac:dyDescent="0.25">
      <c r="A7" t="s">
        <v>0</v>
      </c>
      <c r="B7" t="s">
        <v>14</v>
      </c>
      <c r="C7" t="s">
        <v>5</v>
      </c>
    </row>
    <row r="8" spans="1:3" x14ac:dyDescent="0.25">
      <c r="A8" t="s">
        <v>6</v>
      </c>
      <c r="B8" t="s">
        <v>15</v>
      </c>
      <c r="C8" t="s">
        <v>13</v>
      </c>
    </row>
    <row r="9" spans="1:3" x14ac:dyDescent="0.25">
      <c r="A9" t="s">
        <v>4</v>
      </c>
      <c r="B9" t="s">
        <v>5</v>
      </c>
      <c r="C9" t="s">
        <v>13</v>
      </c>
    </row>
    <row r="10" spans="1:3" x14ac:dyDescent="0.25">
      <c r="A10" t="s">
        <v>8</v>
      </c>
      <c r="B10" t="s">
        <v>14</v>
      </c>
      <c r="C10" t="s">
        <v>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449353-0093-46B3-9590-22C9F2821D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Récap</vt:lpstr>
      <vt:lpstr>Données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Clément Pons</dc:creator>
  <cp:lastModifiedBy>Clément PONS</cp:lastModifiedBy>
  <dcterms:created xsi:type="dcterms:W3CDTF">2024-02-07T20:50:05Z</dcterms:created>
  <dcterms:modified xsi:type="dcterms:W3CDTF">2024-02-08T13:04:50Z</dcterms:modified>
</cp:coreProperties>
</file>