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F:\Users\Clement\Documents\Aspect\JDR\Système Aspect\"/>
    </mc:Choice>
  </mc:AlternateContent>
  <xr:revisionPtr revIDLastSave="0" documentId="13_ncr:1_{C7C287E7-E9AA-4964-B837-C988ECB8B687}" xr6:coauthVersionLast="47" xr6:coauthVersionMax="47" xr10:uidLastSave="{00000000-0000-0000-0000-000000000000}"/>
  <bookViews>
    <workbookView xWindow="-120" yWindow="-120" windowWidth="38640" windowHeight="21120" xr2:uid="{200AB9DF-C0C3-4752-B0BD-0EF65030082E}"/>
  </bookViews>
  <sheets>
    <sheet name="Récap" sheetId="3" r:id="rId1"/>
    <sheet name="Aspects" sheetId="1" r:id="rId2"/>
    <sheet name="Sorts" sheetId="4" r:id="rId3"/>
    <sheet name="Feuil2" sheetId="2" state="hidden" r:id="rId4"/>
  </sheets>
  <definedNames>
    <definedName name="WCHARAC">Récap!$M$8</definedName>
    <definedName name="WMENTAL">Récap!$M$6</definedName>
    <definedName name="WPHYSIC">Récap!$M$4</definedName>
  </definedNames>
  <calcPr calcId="191029" refMode="R1C1"/>
  <pivotCaches>
    <pivotCache cacheId="0" r:id="rId5"/>
    <pivotCache cacheId="30"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 i="3" l="1"/>
  <c r="R4" i="3"/>
  <c r="R5" i="3"/>
  <c r="R7" i="3"/>
  <c r="R8" i="3"/>
  <c r="R9" i="3"/>
  <c r="R11" i="3"/>
  <c r="R12" i="3"/>
  <c r="R13" i="3"/>
  <c r="R14" i="3"/>
  <c r="R15" i="3"/>
  <c r="R16" i="3"/>
  <c r="R17" i="3"/>
  <c r="R18" i="3"/>
  <c r="R19" i="3"/>
  <c r="N4" i="1"/>
  <c r="N5" i="1"/>
  <c r="N6" i="1"/>
  <c r="N7" i="1"/>
  <c r="N8" i="1"/>
  <c r="N9" i="1"/>
  <c r="N10" i="1"/>
  <c r="N11" i="1"/>
  <c r="N12" i="1"/>
  <c r="N13" i="1"/>
  <c r="N14" i="1"/>
  <c r="N15" i="1"/>
  <c r="N34" i="1"/>
  <c r="N16" i="1"/>
  <c r="N17" i="1"/>
  <c r="N18" i="1"/>
  <c r="N19" i="1"/>
  <c r="N20" i="1"/>
  <c r="N21" i="1"/>
  <c r="N22" i="1"/>
  <c r="N23" i="1"/>
  <c r="N24" i="1"/>
  <c r="N25" i="1"/>
  <c r="N26" i="1"/>
  <c r="N27" i="1"/>
  <c r="N28" i="1"/>
  <c r="N29" i="1"/>
  <c r="N30" i="1"/>
  <c r="N31" i="1"/>
  <c r="N32" i="1"/>
  <c r="N33" i="1"/>
  <c r="N35" i="1"/>
  <c r="N36" i="1"/>
  <c r="N37" i="1"/>
  <c r="N3" i="1"/>
  <c r="N2" i="1"/>
  <c r="H29" i="1"/>
  <c r="H28" i="1"/>
  <c r="H17" i="1"/>
  <c r="H13" i="1"/>
  <c r="H36" i="1"/>
  <c r="L14" i="1"/>
  <c r="U14" i="1" s="1"/>
  <c r="H35" i="1"/>
  <c r="L20" i="1"/>
  <c r="U20" i="1" s="1"/>
  <c r="H18" i="1"/>
  <c r="H8" i="1"/>
  <c r="H22" i="1"/>
  <c r="H4" i="1"/>
  <c r="E17" i="1"/>
  <c r="E9" i="1"/>
  <c r="E32" i="1"/>
  <c r="E36" i="1"/>
  <c r="E23" i="1"/>
  <c r="E14" i="1"/>
  <c r="L35" i="1"/>
  <c r="U35" i="1" s="1"/>
  <c r="E20" i="1"/>
  <c r="E18" i="1"/>
  <c r="E22" i="1"/>
  <c r="E4" i="1"/>
  <c r="H14" i="1"/>
  <c r="H12" i="1"/>
  <c r="H33" i="1"/>
  <c r="H27" i="1"/>
  <c r="L31" i="1"/>
  <c r="U31" i="1" s="1"/>
  <c r="H32" i="1"/>
  <c r="L15" i="1"/>
  <c r="U15" i="1" s="1"/>
  <c r="L25" i="1"/>
  <c r="U25" i="1" s="1"/>
  <c r="H5" i="1"/>
  <c r="L11" i="1"/>
  <c r="U11" i="1" s="1"/>
  <c r="L23" i="1"/>
  <c r="U23" i="1" s="1"/>
  <c r="E34" i="1"/>
  <c r="E33" i="1"/>
  <c r="L10" i="1"/>
  <c r="U10" i="1" s="1"/>
  <c r="E21" i="1"/>
  <c r="E28" i="1"/>
  <c r="L37" i="1"/>
  <c r="U37" i="1" s="1"/>
  <c r="B9" i="1"/>
  <c r="B36" i="1"/>
  <c r="L19" i="1"/>
  <c r="U19" i="1" s="1"/>
  <c r="B8" i="1"/>
  <c r="B22" i="1"/>
  <c r="L24" i="1"/>
  <c r="U24" i="1" s="1"/>
  <c r="S2" i="1"/>
  <c r="S28" i="1"/>
  <c r="S6" i="1"/>
  <c r="S29" i="1"/>
  <c r="S16" i="1"/>
  <c r="S11" i="1"/>
  <c r="S36" i="1"/>
  <c r="S9" i="1"/>
  <c r="S13" i="1"/>
  <c r="S27" i="1"/>
  <c r="S30" i="1"/>
  <c r="S32" i="1"/>
  <c r="S5" i="1"/>
  <c r="S26" i="1"/>
  <c r="S17" i="1"/>
  <c r="S25" i="1"/>
  <c r="S21" i="1"/>
  <c r="S19" i="1"/>
  <c r="S31" i="1"/>
  <c r="S15" i="1"/>
  <c r="S10" i="1"/>
  <c r="S8" i="1"/>
  <c r="S22" i="1"/>
  <c r="S35" i="1"/>
  <c r="S20" i="1"/>
  <c r="S14" i="1"/>
  <c r="S23" i="1"/>
  <c r="S24" i="1"/>
  <c r="S37" i="1"/>
  <c r="S33" i="1"/>
  <c r="S18" i="1"/>
  <c r="S12" i="1"/>
  <c r="S4" i="1"/>
  <c r="S7" i="1"/>
  <c r="S3" i="1"/>
  <c r="L2" i="1"/>
  <c r="U2" i="1" s="1"/>
  <c r="L30" i="1"/>
  <c r="U30" i="1" s="1"/>
  <c r="L26" i="1"/>
  <c r="U26" i="1" s="1"/>
  <c r="L6" i="1"/>
  <c r="U6" i="1" s="1"/>
  <c r="L17" i="1"/>
  <c r="U17" i="1" s="1"/>
  <c r="L16" i="1"/>
  <c r="U16" i="1" s="1"/>
  <c r="L21" i="1"/>
  <c r="U21" i="1" s="1"/>
  <c r="L12" i="1"/>
  <c r="U12" i="1" s="1"/>
  <c r="L7" i="1"/>
  <c r="U7" i="1" s="1"/>
  <c r="L3" i="1"/>
  <c r="U3" i="1" s="1"/>
  <c r="B28" i="1"/>
  <c r="K28" i="1"/>
  <c r="Q28" i="1"/>
  <c r="R28" i="1"/>
  <c r="B29" i="1"/>
  <c r="K29" i="1"/>
  <c r="Q29" i="1"/>
  <c r="R29" i="1"/>
  <c r="E19" i="1"/>
  <c r="H19" i="1"/>
  <c r="K19" i="1"/>
  <c r="Q19" i="1"/>
  <c r="R19" i="1"/>
  <c r="B26" i="1"/>
  <c r="E26" i="1"/>
  <c r="H26" i="1"/>
  <c r="K26" i="1"/>
  <c r="Q26" i="1"/>
  <c r="R26" i="1"/>
  <c r="B27" i="1"/>
  <c r="K27" i="1"/>
  <c r="Q27" i="1"/>
  <c r="R27" i="1"/>
  <c r="B30" i="1"/>
  <c r="E30" i="1"/>
  <c r="H30" i="1"/>
  <c r="K30" i="1"/>
  <c r="Q30" i="1"/>
  <c r="R30" i="1"/>
  <c r="B31" i="1"/>
  <c r="E31" i="1"/>
  <c r="H31" i="1"/>
  <c r="K31" i="1"/>
  <c r="Q31" i="1"/>
  <c r="R31" i="1"/>
  <c r="B3" i="1"/>
  <c r="E3" i="1"/>
  <c r="H3" i="1"/>
  <c r="K3" i="1"/>
  <c r="Q3" i="1"/>
  <c r="R3" i="1"/>
  <c r="K4" i="1"/>
  <c r="Q4" i="1"/>
  <c r="R4" i="1"/>
  <c r="B7" i="1"/>
  <c r="E7" i="1"/>
  <c r="H7" i="1"/>
  <c r="K7" i="1"/>
  <c r="Q7" i="1"/>
  <c r="R7" i="1"/>
  <c r="E24" i="1"/>
  <c r="H24" i="1"/>
  <c r="K24" i="1"/>
  <c r="Q24" i="1"/>
  <c r="R24" i="1"/>
  <c r="B37" i="1"/>
  <c r="E37" i="1"/>
  <c r="H37" i="1"/>
  <c r="K37" i="1"/>
  <c r="Q37" i="1"/>
  <c r="R37" i="1"/>
  <c r="B6" i="1"/>
  <c r="E6" i="1"/>
  <c r="H6" i="1"/>
  <c r="K6" i="1"/>
  <c r="Q6" i="1"/>
  <c r="R6" i="1"/>
  <c r="B16" i="1"/>
  <c r="E16" i="1"/>
  <c r="H16" i="1"/>
  <c r="K16" i="1"/>
  <c r="Q16" i="1"/>
  <c r="R16" i="1"/>
  <c r="B13" i="1"/>
  <c r="E13" i="1"/>
  <c r="K13" i="1"/>
  <c r="Q13" i="1"/>
  <c r="R13" i="1"/>
  <c r="K32" i="1"/>
  <c r="Q32" i="1"/>
  <c r="R32" i="1"/>
  <c r="K36" i="1"/>
  <c r="Q36" i="1"/>
  <c r="R36" i="1"/>
  <c r="E8" i="1"/>
  <c r="K8" i="1"/>
  <c r="Q8" i="1"/>
  <c r="R8" i="1"/>
  <c r="K18" i="1"/>
  <c r="Q18" i="1"/>
  <c r="R18" i="1"/>
  <c r="B20" i="1"/>
  <c r="H20" i="1"/>
  <c r="K20" i="1"/>
  <c r="Q20" i="1"/>
  <c r="R20" i="1"/>
  <c r="K22" i="1"/>
  <c r="Q22" i="1"/>
  <c r="R22" i="1"/>
  <c r="B14" i="1"/>
  <c r="K14" i="1"/>
  <c r="Q14" i="1"/>
  <c r="R14" i="1"/>
  <c r="B33" i="1"/>
  <c r="K33" i="1"/>
  <c r="Q33" i="1"/>
  <c r="R33" i="1"/>
  <c r="B34" i="1"/>
  <c r="H34" i="1"/>
  <c r="K34" i="1"/>
  <c r="Q34" i="1"/>
  <c r="R34" i="1"/>
  <c r="B12" i="1"/>
  <c r="E12" i="1"/>
  <c r="K12" i="1"/>
  <c r="Q12" i="1"/>
  <c r="R12" i="1"/>
  <c r="B23" i="1"/>
  <c r="H23" i="1"/>
  <c r="K23" i="1"/>
  <c r="Q23" i="1"/>
  <c r="R23" i="1"/>
  <c r="B35" i="1"/>
  <c r="E35" i="1"/>
  <c r="K35" i="1"/>
  <c r="Q35" i="1"/>
  <c r="R35" i="1"/>
  <c r="B2" i="1"/>
  <c r="E2" i="1"/>
  <c r="H2" i="1"/>
  <c r="K2" i="1"/>
  <c r="Q2" i="1"/>
  <c r="R2" i="1"/>
  <c r="B11" i="1"/>
  <c r="E11" i="1"/>
  <c r="H11" i="1"/>
  <c r="K11" i="1"/>
  <c r="Q11" i="1"/>
  <c r="R11" i="1"/>
  <c r="B5" i="1"/>
  <c r="K5" i="1"/>
  <c r="Q5" i="1"/>
  <c r="R5" i="1"/>
  <c r="B10" i="1"/>
  <c r="E10" i="1"/>
  <c r="H10" i="1"/>
  <c r="K10" i="1"/>
  <c r="Q10" i="1"/>
  <c r="R10" i="1"/>
  <c r="H9" i="1"/>
  <c r="K9" i="1"/>
  <c r="Q9" i="1"/>
  <c r="R9" i="1"/>
  <c r="B15" i="1"/>
  <c r="E15" i="1"/>
  <c r="H15" i="1"/>
  <c r="K15" i="1"/>
  <c r="Q15" i="1"/>
  <c r="R15" i="1"/>
  <c r="B17" i="1"/>
  <c r="K17" i="1"/>
  <c r="Q17" i="1"/>
  <c r="R17" i="1"/>
  <c r="B21" i="1"/>
  <c r="H21" i="1"/>
  <c r="K21" i="1"/>
  <c r="Q21" i="1"/>
  <c r="R21" i="1"/>
  <c r="B25" i="1"/>
  <c r="E25" i="1"/>
  <c r="H25" i="1"/>
  <c r="K25" i="1"/>
  <c r="Q25" i="1"/>
  <c r="R25" i="1"/>
  <c r="D13" i="3"/>
  <c r="D14" i="3"/>
  <c r="D15" i="3"/>
  <c r="D16" i="3"/>
  <c r="D17" i="3"/>
  <c r="D18" i="3"/>
  <c r="D19" i="3"/>
  <c r="S9" i="3" l="1"/>
  <c r="S3" i="3"/>
  <c r="S8" i="3"/>
  <c r="S7" i="3"/>
  <c r="S5" i="3"/>
  <c r="S4" i="3"/>
  <c r="S19" i="3"/>
  <c r="S11" i="3"/>
  <c r="S12" i="3"/>
  <c r="S13" i="3"/>
  <c r="S14" i="3"/>
  <c r="S15" i="3"/>
  <c r="S16" i="3"/>
  <c r="S17" i="3"/>
  <c r="S18" i="3"/>
  <c r="T28" i="1"/>
  <c r="T13" i="1"/>
  <c r="T31" i="1"/>
  <c r="L18" i="1"/>
  <c r="U18" i="1" s="1"/>
  <c r="L34" i="1"/>
  <c r="U34" i="1" s="1"/>
  <c r="L4" i="1"/>
  <c r="U4" i="1" s="1"/>
  <c r="L29" i="1"/>
  <c r="U29" i="1" s="1"/>
  <c r="L27" i="1"/>
  <c r="U27" i="1" s="1"/>
  <c r="L5" i="1"/>
  <c r="U5" i="1" s="1"/>
  <c r="E27" i="1"/>
  <c r="E29" i="1"/>
  <c r="E5" i="1"/>
  <c r="L33" i="1"/>
  <c r="U33" i="1" s="1"/>
  <c r="L28" i="1"/>
  <c r="U28" i="1" s="1"/>
  <c r="L13" i="1"/>
  <c r="U13" i="1" s="1"/>
  <c r="L32" i="1"/>
  <c r="U32" i="1" s="1"/>
  <c r="L9" i="1"/>
  <c r="U9" i="1" s="1"/>
  <c r="B18" i="1"/>
  <c r="B19" i="1"/>
  <c r="L36" i="1"/>
  <c r="U36" i="1" s="1"/>
  <c r="B24" i="1"/>
  <c r="B4" i="1"/>
  <c r="B32" i="1"/>
  <c r="L22" i="1"/>
  <c r="U22" i="1" s="1"/>
  <c r="L8" i="1"/>
  <c r="U8" i="1" s="1"/>
  <c r="M26" i="1"/>
  <c r="V26" i="1" s="1"/>
  <c r="M21" i="1"/>
  <c r="V21" i="1" s="1"/>
  <c r="M23" i="1"/>
  <c r="V23" i="1" s="1"/>
  <c r="M17" i="1"/>
  <c r="V17" i="1" s="1"/>
  <c r="M25" i="1"/>
  <c r="V25" i="1" s="1"/>
  <c r="M6" i="1"/>
  <c r="V6" i="1" s="1"/>
  <c r="M2" i="1"/>
  <c r="V2" i="1" s="1"/>
  <c r="T20" i="1"/>
  <c r="T37" i="1"/>
  <c r="T5" i="1"/>
  <c r="T14" i="1"/>
  <c r="T16" i="1"/>
  <c r="T30" i="1"/>
  <c r="T3" i="1"/>
  <c r="T7" i="1"/>
  <c r="T29" i="1"/>
  <c r="T10" i="1"/>
  <c r="T15" i="1"/>
  <c r="M12" i="1"/>
  <c r="V12" i="1" s="1"/>
  <c r="T4" i="1"/>
  <c r="T35" i="1"/>
  <c r="T24" i="1"/>
  <c r="T25" i="1"/>
  <c r="T17" i="1"/>
  <c r="T26" i="1"/>
  <c r="T12" i="1"/>
  <c r="T18" i="1"/>
  <c r="T36" i="1"/>
  <c r="T33" i="1"/>
  <c r="T6" i="1"/>
  <c r="M19" i="1"/>
  <c r="V19" i="1" s="1"/>
  <c r="T23" i="1"/>
  <c r="T2" i="1"/>
  <c r="T9" i="1"/>
  <c r="T34" i="1"/>
  <c r="T32" i="1"/>
  <c r="T11" i="1"/>
  <c r="T22" i="1"/>
  <c r="T8" i="1"/>
  <c r="T19" i="1"/>
  <c r="T21" i="1"/>
  <c r="T27" i="1"/>
  <c r="M37" i="1"/>
  <c r="V37" i="1" s="1"/>
  <c r="M24" i="1"/>
  <c r="V24" i="1" s="1"/>
  <c r="M14" i="1"/>
  <c r="V14" i="1" s="1"/>
  <c r="M20" i="1"/>
  <c r="V20" i="1" s="1"/>
  <c r="M10" i="1"/>
  <c r="V10" i="1" s="1"/>
  <c r="M35" i="1"/>
  <c r="V35" i="1" s="1"/>
  <c r="M3" i="1"/>
  <c r="V3" i="1" s="1"/>
  <c r="M7" i="1"/>
  <c r="V7" i="1" s="1"/>
  <c r="M11" i="1"/>
  <c r="V11" i="1" s="1"/>
  <c r="M15" i="1"/>
  <c r="V15" i="1" s="1"/>
  <c r="M31" i="1"/>
  <c r="V31" i="1" s="1"/>
  <c r="M16" i="1"/>
  <c r="V16" i="1" s="1"/>
  <c r="M30" i="1"/>
  <c r="V30" i="1" s="1"/>
  <c r="E19" i="3"/>
  <c r="E16" i="3"/>
  <c r="E18" i="3"/>
  <c r="D3" i="3"/>
  <c r="E17" i="3"/>
  <c r="E15" i="3"/>
  <c r="E14" i="3"/>
  <c r="E13" i="3"/>
  <c r="D9" i="3"/>
  <c r="D8" i="3"/>
  <c r="D5" i="3"/>
  <c r="D10" i="3"/>
  <c r="D4" i="3"/>
  <c r="M8" i="1" l="1"/>
  <c r="V8" i="1" s="1"/>
  <c r="M5" i="1"/>
  <c r="V5" i="1" s="1"/>
  <c r="M34" i="1"/>
  <c r="V34" i="1" s="1"/>
  <c r="M4" i="1"/>
  <c r="V4" i="1" s="1"/>
  <c r="M18" i="1"/>
  <c r="V18" i="1" s="1"/>
  <c r="M29" i="1"/>
  <c r="V29" i="1" s="1"/>
  <c r="M27" i="1"/>
  <c r="V27" i="1" s="1"/>
  <c r="M28" i="1"/>
  <c r="V28" i="1" s="1"/>
  <c r="M33" i="1"/>
  <c r="V33" i="1" s="1"/>
  <c r="M32" i="1"/>
  <c r="V32" i="1" s="1"/>
  <c r="M9" i="1"/>
  <c r="V9" i="1" s="1"/>
  <c r="M13" i="1"/>
  <c r="V13" i="1" s="1"/>
  <c r="M22" i="1"/>
  <c r="V22" i="1" s="1"/>
  <c r="M36" i="1"/>
  <c r="V36" i="1" s="1"/>
  <c r="E10" i="3"/>
  <c r="E5" i="3"/>
  <c r="E4" i="3"/>
  <c r="E8" i="3"/>
  <c r="E9" i="3"/>
  <c r="E3" i="3"/>
</calcChain>
</file>

<file path=xl/sharedStrings.xml><?xml version="1.0" encoding="utf-8"?>
<sst xmlns="http://schemas.openxmlformats.org/spreadsheetml/2006/main" count="867" uniqueCount="237">
  <si>
    <t>Neutre mauvais</t>
  </si>
  <si>
    <t>Bonté</t>
  </si>
  <si>
    <t>Loyauté</t>
  </si>
  <si>
    <t>Alignement</t>
  </si>
  <si>
    <t>Chaotique neutre</t>
  </si>
  <si>
    <t>Neutre</t>
  </si>
  <si>
    <t>Chaotique bon</t>
  </si>
  <si>
    <t>Neutre bon</t>
  </si>
  <si>
    <t>Chaotique mauvais</t>
  </si>
  <si>
    <t>Loyal neutre</t>
  </si>
  <si>
    <t>Loyal bon</t>
  </si>
  <si>
    <t>Loyal mauvais</t>
  </si>
  <si>
    <t>Loyal</t>
  </si>
  <si>
    <t>Chaotique</t>
  </si>
  <si>
    <t>Mauvais</t>
  </si>
  <si>
    <t>Bon</t>
  </si>
  <si>
    <t>Nyelis</t>
  </si>
  <si>
    <t>Hashura</t>
  </si>
  <si>
    <t>Akkatom</t>
  </si>
  <si>
    <t>Othompa</t>
  </si>
  <si>
    <t>Thymeïr</t>
  </si>
  <si>
    <t>Kuelid</t>
  </si>
  <si>
    <t>Goldreg</t>
  </si>
  <si>
    <t>Kronian</t>
  </si>
  <si>
    <t>Anseilid</t>
  </si>
  <si>
    <t>Brukaur</t>
  </si>
  <si>
    <t>Digride</t>
  </si>
  <si>
    <t>Phy max</t>
  </si>
  <si>
    <t>Men min</t>
  </si>
  <si>
    <t>Men max</t>
  </si>
  <si>
    <t>Cha min</t>
  </si>
  <si>
    <t>Cha max</t>
  </si>
  <si>
    <t>Aspect</t>
  </si>
  <si>
    <t>Physique</t>
  </si>
  <si>
    <t>Mental</t>
  </si>
  <si>
    <t>Charactère</t>
  </si>
  <si>
    <t>Magie</t>
  </si>
  <si>
    <t>Force</t>
  </si>
  <si>
    <t>Dextérité</t>
  </si>
  <si>
    <t>Résilience</t>
  </si>
  <si>
    <t>Intelligence</t>
  </si>
  <si>
    <t>Curiosité</t>
  </si>
  <si>
    <t>Éloquence</t>
  </si>
  <si>
    <t>Psyché</t>
  </si>
  <si>
    <t>Shelfine</t>
  </si>
  <si>
    <t>Zeniom</t>
  </si>
  <si>
    <t>Miador</t>
  </si>
  <si>
    <t>Asnol</t>
  </si>
  <si>
    <t>Shlahog</t>
  </si>
  <si>
    <t>Onimee</t>
  </si>
  <si>
    <t>Promolide</t>
  </si>
  <si>
    <t>Calderan</t>
  </si>
  <si>
    <t>Nigiak</t>
  </si>
  <si>
    <t>Franeline</t>
  </si>
  <si>
    <t>Lonidae</t>
  </si>
  <si>
    <t>Vadeaxil</t>
  </si>
  <si>
    <t>Urdi'rik</t>
  </si>
  <si>
    <t>Beth'oit</t>
  </si>
  <si>
    <t>Arsinam</t>
  </si>
  <si>
    <t>Mul'dekar</t>
  </si>
  <si>
    <t>Yinkovn</t>
  </si>
  <si>
    <t>Zaliax</t>
  </si>
  <si>
    <t>Incabat</t>
  </si>
  <si>
    <t>Qua'faltar</t>
  </si>
  <si>
    <t>Phy min</t>
  </si>
  <si>
    <t>Min stats</t>
  </si>
  <si>
    <t>Drinbuur</t>
  </si>
  <si>
    <t>Max stats</t>
  </si>
  <si>
    <t>Range stats</t>
  </si>
  <si>
    <t>Nombre</t>
  </si>
  <si>
    <t>Étiquettes</t>
  </si>
  <si>
    <t>Range</t>
  </si>
  <si>
    <t>Min</t>
  </si>
  <si>
    <t>Max</t>
  </si>
  <si>
    <t>Commentaire</t>
  </si>
  <si>
    <t>Stat améliorée</t>
  </si>
  <si>
    <t>Exception, pas de magie malgré le mental min à 8</t>
  </si>
  <si>
    <t>Difficulté</t>
  </si>
  <si>
    <t>Dao Tua</t>
  </si>
  <si>
    <t>Rudnar</t>
  </si>
  <si>
    <t>Kaha Bii</t>
  </si>
  <si>
    <t>Poids physique</t>
  </si>
  <si>
    <t>Poids mental</t>
  </si>
  <si>
    <t>Poids de caractère</t>
  </si>
  <si>
    <t>Vernil</t>
  </si>
  <si>
    <t>Sort</t>
  </si>
  <si>
    <t>Type</t>
  </si>
  <si>
    <t>Element</t>
  </si>
  <si>
    <t>Rang</t>
  </si>
  <si>
    <t>&gt;Faites un jet d'attaque avec la [[1. Entrainement#La dextérité|dextérité]]. Tire un faisceau de flamme, infligeant 2d8 dégâts de feu en touchant.</t>
  </si>
  <si>
    <t>&gt;Chauffe à blanc une arme ou un projectile. Jusqu'au début de votre prochain tour, les coups portés avec l'objet infligent 1d6 dégâts supplémentaire. Les dégâts de l'arme deviennent des dégâts de feu.</t>
  </si>
  <si>
    <t>&gt;Lance un projectile de feu éclatant sur 3 cases de rayon. Chaque personne dans le rayon doit réussir un [[3. Résistance aux chocs#Le jet de résistance|jet de résistance]](d10/6 + mod. d'[[1. Entrainement#L'intelligence|intelligence]]) ou subit 2d8 dégâts de feu.</t>
  </si>
  <si>
    <t>&gt;Pendant 5 tours, toute personne terminant son tour à une case de vous subit 1d10 dégâts de feu.</t>
  </si>
  <si>
    <t>&gt; Grave une marque discrète sur un objet, restant durant 3 jours ou jusqu'à ce que quelqu'un rentre en contact avec la marque, auquel cas cette dernière lui sera gravée avec une désagréable sensation de brulure. La brulure disparait après 3 jours.</t>
  </si>
  <si>
    <t>&gt;Votre armure subit l'intégralité des dégâts sur le prochain coup.</t>
  </si>
  <si>
    <t>&gt;Faites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t>
  </si>
  <si>
    <t>&gt;Faites un jet d'attaque avec la [[1. Entrainement#Dextérité|dextérité]]. Frappe une cible visible puis rebondit sur jusqu'à 2 autres cibles. Inflige 1d8[[2. Glossaire#Jet explosif|!]] dégâts de foudre.</t>
  </si>
  <si>
    <t>&gt;Se téléporte à 6 cases tant que vous pouvez voir et courir vers la destination.</t>
  </si>
  <si>
    <t>&gt;Faites un jet d'attaque avec la [[1. Entrainement#La dextérité|dextérité]]. Tire une décharge foudroyante d'énergie, infligeant 4d4[[2. Glossaire#Jet explosif|!]] dégâts de foudre.</t>
  </si>
  <si>
    <t>&gt;Faites un jet d'attaque avec la [[1. Entrainement#La dextérité|dextérité]]. Un pilier de matière est extirpé du sol pour aller frapper la cible, qui est alors déplacée d'une case. Si la cible est propulsée contre un mur, elle subit alors 3d12 dégâts contondant.</t>
  </si>
  <si>
    <t>&gt;Durant 1 minute, vous gagnez un bonus de 2 au blocage, mais subissez également un malus de 2 à l'esquive et perdez 2 cases de vitesse de course.</t>
  </si>
  <si>
    <t>&gt; Vous gagnez une résistance aux dégâts physiques jusqu'au début de votre prochain tour.</t>
  </si>
  <si>
    <t>&gt; Condense de l'énergie magique dans une arme ou un projectile sur vous. Vous faites une attaque immédiatement après avoir lancé ce sort sans dépenser d'action, infligeant 1d8 dégâts supplémentaire. Les dégâts de l'arme deviennent magique.</t>
  </si>
  <si>
    <t>&gt;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t>
  </si>
  <si>
    <t>&gt;La vitesse de course de votre cible augmente de 2 cases pendant 1 minute. Elle gagne également un bonus de +1 à l'esquive.</t>
  </si>
  <si>
    <t>&gt;Crée une imposante colonne d'air descendent de 3 cases de rayon sur 12 cases de haut à 18 cases de vous. Les créatures à l'intérieur ont un malus de 1 à l'esquive. Les créatures volantes chutent de 3 cases par tour. Dure 5 tours.</t>
  </si>
  <si>
    <t xml:space="preserve">&gt;Réduit le poids d'un objet à un dixième de son poids d'origine pendant 1 minute. Fonctionne sur des objets inertes allant jusqu'à 500kg. </t>
  </si>
  <si>
    <t>&gt;Permet à jusqu'à 5 herbes ou préparations médicinales de se conserver 1 jour de plus. *Ne peux être utilisé qu'une seule fois par herbe/préparation.*</t>
  </si>
  <si>
    <t>&gt; Vous récupérez un point de fatigue temporaire de la cible que vous touchez.</t>
  </si>
  <si>
    <t>&gt;Faites un jet d'attaque avec la [[1. Entrainement#La dextérité|dextérité]]. Inflige 2d8+2 dégâts magique à l'armure de la cible.</t>
  </si>
  <si>
    <t xml:space="preserve">&gt; Absorbe la lumière d'une zone de 4 cases de rayon, la faisant apparaitre comme plus sombre durant 1 minute. </t>
  </si>
  <si>
    <t>&gt; Si vous êtes dans une zone de noir total, vous pouvez vous téléporter dans n'importe quelle autre zone de noir total à 9 cases.</t>
  </si>
  <si>
    <t>&gt;Envenime l'esprit de la cible, brouillant sa perception de la réalité et lui faisant voir des images subliminales de chaos. La cible fait un [[3. Résistance aux chocs#Le jet de résistance|jet de résistance]] (d8/4 + mod. de psyché) à la [[2. Liste des effets#Apeuré|peur]].</t>
  </si>
  <si>
    <t>Precision</t>
  </si>
  <si>
    <t>Feu</t>
  </si>
  <si>
    <t>action</t>
  </si>
  <si>
    <t>Incantation</t>
  </si>
  <si>
    <t>Coût</t>
  </si>
  <si>
    <t>Trait de feu</t>
  </si>
  <si>
    <t>Echauffement</t>
  </si>
  <si>
    <t>Savoir</t>
  </si>
  <si>
    <t>Projection bouillonnante</t>
  </si>
  <si>
    <t>Corps ardent</t>
  </si>
  <si>
    <t>Concentration</t>
  </si>
  <si>
    <t>Gravure marquante</t>
  </si>
  <si>
    <t>10 minutes</t>
  </si>
  <si>
    <t>Protection supérieure</t>
  </si>
  <si>
    <t>Lames de glace</t>
  </si>
  <si>
    <t>TODO</t>
  </si>
  <si>
    <t>Instinct</t>
  </si>
  <si>
    <t>reaction</t>
  </si>
  <si>
    <t>Glace</t>
  </si>
  <si>
    <t>Foudre</t>
  </si>
  <si>
    <t>Terre</t>
  </si>
  <si>
    <t>Arcane</t>
  </si>
  <si>
    <t>Air</t>
  </si>
  <si>
    <t>Lumière</t>
  </si>
  <si>
    <t>Nature</t>
  </si>
  <si>
    <t>Psy</t>
  </si>
  <si>
    <t>Chaine de foudre</t>
  </si>
  <si>
    <t>Vitesse lumière</t>
  </si>
  <si>
    <t>Décharge de foudre</t>
  </si>
  <si>
    <t>No name</t>
  </si>
  <si>
    <t>Bouclier tortue</t>
  </si>
  <si>
    <t>Enchantement mineur</t>
  </si>
  <si>
    <t>Rupture de force</t>
  </si>
  <si>
    <t>Foulée aérienne</t>
  </si>
  <si>
    <t>Pression forcée</t>
  </si>
  <si>
    <t>Poids plume</t>
  </si>
  <si>
    <t>Dégats</t>
  </si>
  <si>
    <t>Categorie</t>
  </si>
  <si>
    <t>Utilitaire</t>
  </si>
  <si>
    <t>Buff</t>
  </si>
  <si>
    <t>Tank</t>
  </si>
  <si>
    <t>Mouvement</t>
  </si>
  <si>
    <t>Debuff</t>
  </si>
  <si>
    <t>Conservation</t>
  </si>
  <si>
    <t>1 minute</t>
  </si>
  <si>
    <t>Support</t>
  </si>
  <si>
    <t>Absorption radieuse</t>
  </si>
  <si>
    <t>Orbe de lumière</t>
  </si>
  <si>
    <t>Pas des ombres</t>
  </si>
  <si>
    <t>Description</t>
  </si>
  <si>
    <t>&gt;Faites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t>
  </si>
  <si>
    <t>&gt; Fait apparaitre une boule de lumière immatérielle illuminant d'une lumière visible à 12 cases. Peut être bougée de 6 cases avec une action libre.</t>
  </si>
  <si>
    <t>Boule de feu</t>
  </si>
  <si>
    <t>&gt;Une lame de glace vient grandir le long d'une arme que vous touchez. Augmente la portée de l'arme d'une case. L'extension inflige des dégâts tranchants. Dure 1 min, casse après 8 coups **réussis**.</t>
  </si>
  <si>
    <t>Lance de givre</t>
  </si>
  <si>
    <t>Cône de givre</t>
  </si>
  <si>
    <t>&gt;Se téléporte à un point visible à 9 cases max.</t>
  </si>
  <si>
    <t>Téléportation</t>
  </si>
  <si>
    <t>Foudroiement</t>
  </si>
  <si>
    <t>&gt; Durant 1 minute, vos [[4. Équipement#Les armes naturelles|armes naturelles]] se recouvrent de roches, infligeant des dégâts supplémentaires égal à votre mod. d'intelligence. A chaque coup porté (réussi comme raté), les dégâts décroient d'un point jusqu'à arrivée à 0.</t>
  </si>
  <si>
    <t>&gt;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t>
  </si>
  <si>
    <t>IDEE: Télékinesie</t>
  </si>
  <si>
    <t>&gt; Condense de l'énergie magique dans toutes les arme ou projectiles sur vous. Vous faites une attaque immédiatement après avoir lancé ce sort sans dépenser d'action, avec chaque arme infligeant 1d8 dégâts supplémentaire. Les dégâts de l'arme deviennent magique.</t>
  </si>
  <si>
    <t>&gt; Condense de l'énergie magique dans une arme sur vous *jusqu'à la fin de votre prochain tour*. Vous faites une attaque immédiatement après avoir lancé ce sort sans dépenser d'action, infligeant 1d8 dégâts supplémentaire. Les dégâts de l'arme deviennent magique.</t>
  </si>
  <si>
    <t>&gt;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t>
  </si>
  <si>
    <t>&gt; Vous bénissez temporairement un arc avec la magie des vents pour les 3 prochaines attaques. Les flèches tirée par cet arc ont une vélocité accrue, les portée sont doublée et vous avez un bonus de +2 pour toucher à moyenne distance.</t>
  </si>
  <si>
    <t>&gt;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t>
  </si>
  <si>
    <t>&gt;Vous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t>
  </si>
  <si>
    <t>&gt; Vous gagnez pendant 1 minute une vision dans le noir à 12 cases.</t>
  </si>
  <si>
    <t xml:space="preserve">&gt;*Ne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t>
  </si>
  <si>
    <t>&gt;Vous pouvez perturber les flux magiques d'un lanceur de sort que vous voyez à 9 cases pour lui imposer un malus de 3 à son lancer de sort en cours.</t>
  </si>
  <si>
    <t>Poussière incandescente</t>
  </si>
  <si>
    <t>Enchantement tenace</t>
  </si>
  <si>
    <t>Enchantement dense</t>
  </si>
  <si>
    <t>&gt; Votre cible doit faire un [[3. Résistance aux chocs#Le jet de résistance|jet de résistance]] (d4/3 + mod. d'[[1. Entrainement#L'intelligence|intelligence]]) à l'[[2. Liste des effets#Influencé|influence]]. En cas d'échec, elle perds 2d4[[2. Glossaire#Jet explosif|!]] mana.</t>
  </si>
  <si>
    <t>Apaisement</t>
  </si>
  <si>
    <t>Painshock</t>
  </si>
  <si>
    <t>Perturbateur</t>
  </si>
  <si>
    <t>&gt;Fait apparaitre une tornade de braises ardente de 2 cases de rayon. Chaque tour, vous pouvez la faire bouger de 2 cases pour 1 point d'action. Toute personne commençant son tour dans la tornade subit 2d8 dégâts de feu.</t>
  </si>
  <si>
    <t>&gt;Fait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t>
  </si>
  <si>
    <t>&gt;Faites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t>
  </si>
  <si>
    <t>&gt; Place une anomalie visuelle à 3 cases émettant une [[6. Visibilité et lumière#Lumière intense|lumière vive]] à 9 cases. Lorsqu'un être vivant rentre en contact avec l'anomalie, il absorbe toute l'énergie magique et subit 4d8 points de dégâts magique</t>
  </si>
  <si>
    <t>Tourbillon de braise</t>
  </si>
  <si>
    <t>Engourdissement</t>
  </si>
  <si>
    <t>Orbe de chaos</t>
  </si>
  <si>
    <t>Rejet pur</t>
  </si>
  <si>
    <t>Disruption</t>
  </si>
  <si>
    <t>Anomalie immaculée</t>
  </si>
  <si>
    <t>&gt; Faites un jet d'attaque avec la [[1. Entrainement#La psyché|psyché]]. Vous imposez un jet de concentration à une cible que vous voyez. La difficulté est de 4d6+4.</t>
  </si>
  <si>
    <t>&gt;La cible doit faire un [[3. Résistance aux chocs#Le jet de résistance|jet de résistance]] (d10/6 + mod. de [[1. Entrainement#La psyché|psyché]]) aux [[1. Magie#Les sorts instinctif|sorts d'instinct]], divisant sa vitesse par 2 et lui imposant un malus de 3 pour attaquer avec des armes en cas d'échec.</t>
  </si>
  <si>
    <t>Rang 1</t>
  </si>
  <si>
    <t>Rang 2</t>
  </si>
  <si>
    <t>Rang 3</t>
  </si>
  <si>
    <t>Précision</t>
  </si>
  <si>
    <t>Total général</t>
  </si>
  <si>
    <t>Nombre de Rang</t>
  </si>
  <si>
    <t>Protection suprême</t>
  </si>
  <si>
    <t>&gt;Vous vous entourez d'une imposante carapace de roche réactive qui absorbe les chocs. Vous gagnez une armure temporaire de 25PV (-5PV) pendant 2 tours. Subir un coup critique détruit l'armure mais annule l'effet critique.</t>
  </si>
  <si>
    <t>&gt;En touchant la cible, guérit l'influence, le charme et la peur, mais inflige un malus de -1 aux jets de résistance de défense pour ces effets durant 3 tours.</t>
  </si>
  <si>
    <t>(Plusieurs éléments)</t>
  </si>
  <si>
    <t>&gt;Vous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t>
  </si>
  <si>
    <t>Distance</t>
  </si>
  <si>
    <t>12 cases</t>
  </si>
  <si>
    <t>3 cases</t>
  </si>
  <si>
    <t>9 cases</t>
  </si>
  <si>
    <t>Personnel</t>
  </si>
  <si>
    <t>6 cases</t>
  </si>
  <si>
    <t>18 cases</t>
  </si>
  <si>
    <t>Toucher</t>
  </si>
  <si>
    <t>&gt;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t>
  </si>
  <si>
    <t>&gt;Lance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t>
  </si>
  <si>
    <t>&gt;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t>
  </si>
  <si>
    <t>&gt;Votre cible doit faire un [[3. Résistance aux chocs#Le jet de résistance|jet de résistance]] (d8/5 + mod. d'[[1. Entrainement#L'intelligence|intelligence]]) aux [[1. Magie#Les sorts de savoir|sorts de savoir]]. En cas d'échec, elle subit un point de [[3. Fatigue et repos#Fatigue temporaire|fatigue temporaire]].</t>
  </si>
  <si>
    <t>&gt; Vous récupérez un point de [[3. Fatigue et repos#Fatigue persistante|fatigue persistante]] de votre cible.</t>
  </si>
  <si>
    <t>&gt; Crée une zone de poussière brulante de 6 cases de rayon émettant une lumière intense durant 1 minute. Finir son tour dans la poussière vous fait subir 1d6 dégâts de feu. Vous ne pouvez pas être [[6. Visibilité et lumière#Caché|caché]] dans la zone de poussière.</t>
  </si>
  <si>
    <t>Piège de cristal</t>
  </si>
  <si>
    <t>&gt;Vous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t>
  </si>
  <si>
    <t>&gt;Vous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t>
  </si>
  <si>
    <t>Essence magique</t>
  </si>
  <si>
    <t>Vision arcanique</t>
  </si>
  <si>
    <t xml:space="preserve">&gt;Vous êtes capable d'identifier toutes les composantes d'un sort, d'un enchantement ou d'un objet magique. </t>
  </si>
  <si>
    <t xml:space="preserve">&gt;Pendant 10 minutes, vous pouvez percevoir toute trace de magie sous forme de tache bleutée laissant une faible persistance sur votre rétine. </t>
  </si>
  <si>
    <t>&gt;Vous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t>
  </si>
  <si>
    <t>Rafistolage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</si>
</sst>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 x14ac:knownFonts="1">
    <font>
      <sz val="11"/>
      <color theme="1"/>
      <name val="Calibri"/>
      <family val="2"/>
      <scheme val="minor"/>
    </font>
    <font>
      <sz val="11"/>
      <color theme="1"/>
      <name val="Calibri"/>
      <family val="2"/>
      <scheme val="minor"/>
    </font>
    <font>
      <sz val="8"/>
      <name val="Calibri"/>
      <family val="2"/>
      <scheme val="minor"/>
    </font>
    <font>
      <b/>
      <sz val="11"/>
      <color theme="1"/>
      <name val="Microsoft YaHei"/>
      <family val="2"/>
    </font>
  </fonts>
  <fills count="7">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4" tint="0.79998168889431442"/>
        <bgColor indexed="64"/>
      </patternFill>
    </fill>
  </fills>
  <borders count="2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74">
    <xf numFmtId="0" fontId="0" fillId="0" borderId="0" xfId="0"/>
    <xf numFmtId="49" fontId="0" fillId="0" borderId="0" xfId="0" applyNumberFormat="1"/>
    <xf numFmtId="1" fontId="0" fillId="0" borderId="0" xfId="0" applyNumberFormat="1"/>
    <xf numFmtId="0" fontId="0" fillId="0" borderId="3" xfId="0" applyBorder="1"/>
    <xf numFmtId="0" fontId="0" fillId="0" borderId="5" xfId="0" applyBorder="1"/>
    <xf numFmtId="0" fontId="0" fillId="0" borderId="1" xfId="0" applyBorder="1"/>
    <xf numFmtId="0" fontId="0" fillId="0" borderId="0" xfId="0" pivotButton="1"/>
    <xf numFmtId="0" fontId="0" fillId="0" borderId="0" xfId="0" applyAlignment="1">
      <alignment horizontal="left"/>
    </xf>
    <xf numFmtId="0" fontId="0" fillId="0" borderId="0" xfId="0" applyAlignment="1">
      <alignment horizontal="center" vertical="center"/>
    </xf>
    <xf numFmtId="0" fontId="0" fillId="0" borderId="0" xfId="0" applyAlignment="1">
      <alignment horizontal="right"/>
    </xf>
    <xf numFmtId="0" fontId="0" fillId="2" borderId="0" xfId="0" applyFill="1"/>
    <xf numFmtId="0" fontId="0" fillId="3" borderId="0" xfId="0" applyFill="1"/>
    <xf numFmtId="0" fontId="0" fillId="0" borderId="0" xfId="0" applyAlignment="1">
      <alignment horizontal="center"/>
    </xf>
    <xf numFmtId="1" fontId="0" fillId="0" borderId="0" xfId="0" applyNumberFormat="1" applyAlignment="1">
      <alignment horizontal="center"/>
    </xf>
    <xf numFmtId="1" fontId="0" fillId="2"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0" borderId="7" xfId="0" applyBorder="1"/>
    <xf numFmtId="0" fontId="0" fillId="4" borderId="0" xfId="0" applyFill="1"/>
    <xf numFmtId="0" fontId="0" fillId="5" borderId="0" xfId="0" applyFill="1"/>
    <xf numFmtId="0" fontId="0" fillId="0" borderId="0" xfId="0" applyAlignment="1">
      <alignment horizontal="left" vertical="center"/>
    </xf>
    <xf numFmtId="0" fontId="0" fillId="6" borderId="0" xfId="0" applyFill="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164" fontId="0" fillId="0" borderId="2" xfId="1" applyNumberFormat="1" applyFont="1" applyBorder="1" applyAlignment="1">
      <alignment horizontal="center"/>
    </xf>
    <xf numFmtId="164" fontId="0" fillId="0" borderId="4" xfId="1" applyNumberFormat="1" applyFont="1" applyBorder="1" applyAlignment="1">
      <alignment horizontal="center"/>
    </xf>
    <xf numFmtId="164" fontId="0" fillId="0" borderId="6" xfId="1" applyNumberFormat="1" applyFont="1" applyBorder="1" applyAlignment="1">
      <alignment horizontal="center"/>
    </xf>
    <xf numFmtId="164" fontId="0" fillId="0" borderId="21" xfId="1" applyNumberFormat="1" applyFont="1" applyBorder="1" applyAlignment="1">
      <alignment horizontal="center"/>
    </xf>
    <xf numFmtId="164" fontId="0" fillId="0" borderId="22" xfId="1" applyNumberFormat="1" applyFont="1" applyBorder="1" applyAlignment="1">
      <alignment horizontal="center"/>
    </xf>
    <xf numFmtId="164" fontId="0" fillId="0" borderId="23" xfId="1" applyNumberFormat="1" applyFont="1" applyBorder="1" applyAlignment="1">
      <alignment horizontal="center"/>
    </xf>
    <xf numFmtId="0" fontId="0" fillId="0" borderId="7" xfId="0" pivotButton="1" applyBorder="1"/>
    <xf numFmtId="0" fontId="0" fillId="0" borderId="24" xfId="0" applyBorder="1"/>
    <xf numFmtId="0" fontId="0" fillId="0" borderId="25" xfId="0" applyBorder="1"/>
    <xf numFmtId="0" fontId="0" fillId="0" borderId="26" xfId="0" applyBorder="1"/>
    <xf numFmtId="0" fontId="0" fillId="0" borderId="9" xfId="0" applyBorder="1" applyAlignment="1">
      <alignment horizontal="center"/>
    </xf>
    <xf numFmtId="0" fontId="0" fillId="0" borderId="7" xfId="0" pivotButton="1"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0" fillId="0" borderId="27" xfId="0" applyBorder="1" applyAlignment="1">
      <alignment horizontal="center" vertical="center" wrapText="1"/>
    </xf>
    <xf numFmtId="0" fontId="0" fillId="0" borderId="16" xfId="0" applyBorder="1" applyAlignment="1">
      <alignment horizontal="center" vertical="center" wrapText="1"/>
    </xf>
    <xf numFmtId="0" fontId="0" fillId="0" borderId="28" xfId="0" applyBorder="1" applyAlignment="1">
      <alignment horizontal="center" vertical="center" wrapText="1"/>
    </xf>
    <xf numFmtId="0" fontId="0" fillId="0" borderId="16" xfId="0" applyBorder="1" applyAlignment="1">
      <alignment horizontal="left" indent="1"/>
    </xf>
    <xf numFmtId="0" fontId="0" fillId="0" borderId="28" xfId="0" applyBorder="1" applyAlignment="1">
      <alignment horizontal="left" indent="1"/>
    </xf>
    <xf numFmtId="0" fontId="3" fillId="0" borderId="0" xfId="0" applyFont="1" applyAlignment="1">
      <alignment horizontal="center"/>
    </xf>
    <xf numFmtId="0" fontId="0" fillId="0" borderId="24" xfId="0" pivotButton="1" applyBorder="1"/>
    <xf numFmtId="0" fontId="0" fillId="0" borderId="7" xfId="0" applyBorder="1" applyAlignment="1">
      <alignment horizontal="left"/>
    </xf>
    <xf numFmtId="0" fontId="0" fillId="0" borderId="27" xfId="0" applyBorder="1" applyAlignment="1">
      <alignment horizontal="left" indent="1"/>
    </xf>
    <xf numFmtId="0" fontId="0" fillId="0" borderId="25" xfId="0" applyBorder="1" applyAlignment="1">
      <alignment horizontal="center"/>
    </xf>
    <xf numFmtId="0" fontId="0" fillId="0" borderId="7" xfId="0" applyBorder="1" applyAlignment="1">
      <alignment horizont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0" xfId="0" applyNumberFormat="1" applyBorder="1"/>
    <xf numFmtId="0" fontId="0" fillId="0" borderId="12" xfId="0" applyNumberFormat="1" applyBorder="1"/>
    <xf numFmtId="0" fontId="0" fillId="0" borderId="14" xfId="0" applyNumberFormat="1" applyBorder="1"/>
    <xf numFmtId="0" fontId="0" fillId="0" borderId="15" xfId="0" applyNumberFormat="1" applyBorder="1"/>
    <xf numFmtId="0" fontId="0" fillId="0" borderId="8" xfId="0" applyNumberFormat="1" applyBorder="1"/>
    <xf numFmtId="0" fontId="0" fillId="0" borderId="9" xfId="0" applyNumberFormat="1" applyBorder="1"/>
    <xf numFmtId="0" fontId="0" fillId="0" borderId="10" xfId="0" applyNumberFormat="1" applyBorder="1"/>
    <xf numFmtId="0" fontId="0" fillId="0" borderId="11" xfId="0" applyNumberFormat="1" applyBorder="1"/>
    <xf numFmtId="0" fontId="0" fillId="0" borderId="13" xfId="0" applyNumberFormat="1" applyBorder="1"/>
    <xf numFmtId="0" fontId="0" fillId="0" borderId="0" xfId="0" applyFill="1"/>
  </cellXfs>
  <cellStyles count="2">
    <cellStyle name="Normal" xfId="0" builtinId="0"/>
    <cellStyle name="Pourcentage" xfId="1" builtinId="5"/>
  </cellStyles>
  <dxfs count="281">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rder>
    </dxf>
    <dxf>
      <border>
        <right style="thin">
          <color indexed="64"/>
        </right>
      </border>
    </dxf>
    <dxf>
      <border>
        <right style="thin">
          <color indexed="64"/>
        </right>
      </border>
    </dxf>
    <dxf>
      <border>
        <right style="thin">
          <color indexed="64"/>
        </right>
      </border>
    </dxf>
    <dxf>
      <alignment horizontal="center"/>
    </dxf>
    <dxf>
      <alignment horizont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rder>
    </dxf>
    <dxf>
      <border>
        <right style="thin">
          <color indexed="64"/>
        </right>
      </border>
    </dxf>
    <dxf>
      <border>
        <right style="thin">
          <color indexed="64"/>
        </right>
      </border>
    </dxf>
    <dxf>
      <border>
        <right style="thin">
          <color indexed="64"/>
        </right>
      </border>
    </dxf>
    <dxf>
      <alignment horizontal="center"/>
    </dxf>
    <dxf>
      <alignment horizont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rder>
    </dxf>
    <dxf>
      <border>
        <right style="thin">
          <color indexed="64"/>
        </right>
      </border>
    </dxf>
    <dxf>
      <border>
        <right style="thin">
          <color indexed="64"/>
        </right>
      </border>
    </dxf>
    <dxf>
      <border>
        <right style="thin">
          <color indexed="64"/>
        </right>
      </border>
    </dxf>
    <dxf>
      <alignment horizontal="center"/>
    </dxf>
    <dxf>
      <alignment horizont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rder>
    </dxf>
    <dxf>
      <border>
        <right style="thin">
          <color indexed="64"/>
        </right>
      </border>
    </dxf>
    <dxf>
      <border>
        <right style="thin">
          <color indexed="64"/>
        </right>
      </border>
    </dxf>
    <dxf>
      <border>
        <right style="thin">
          <color indexed="64"/>
        </right>
      </border>
    </dxf>
    <dxf>
      <alignment horizontal="center"/>
    </dxf>
    <dxf>
      <alignment horizont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rder>
    </dxf>
    <dxf>
      <border>
        <right style="thin">
          <color indexed="64"/>
        </right>
      </border>
    </dxf>
    <dxf>
      <border>
        <right style="thin">
          <color indexed="64"/>
        </right>
      </border>
    </dxf>
    <dxf>
      <border>
        <right style="thin">
          <color indexed="64"/>
        </right>
      </border>
    </dxf>
    <dxf>
      <alignment horizontal="center"/>
    </dxf>
    <dxf>
      <alignment horizont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rder>
    </dxf>
    <dxf>
      <border>
        <right style="thin">
          <color indexed="64"/>
        </right>
      </border>
    </dxf>
    <dxf>
      <border>
        <right style="thin">
          <color indexed="64"/>
        </right>
      </border>
    </dxf>
    <dxf>
      <border>
        <right style="thin">
          <color indexed="64"/>
        </right>
      </border>
    </dxf>
    <dxf>
      <alignment horizontal="center"/>
    </dxf>
    <dxf>
      <alignment horizont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rder>
    </dxf>
    <dxf>
      <border>
        <right style="thin">
          <color indexed="64"/>
        </right>
      </border>
    </dxf>
    <dxf>
      <border>
        <right style="thin">
          <color indexed="64"/>
        </right>
      </border>
    </dxf>
    <dxf>
      <border>
        <right style="thin">
          <color indexed="64"/>
        </right>
      </border>
    </dxf>
    <dxf>
      <alignment horizontal="center"/>
    </dxf>
    <dxf>
      <alignment horizontal="center"/>
    </dxf>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rder>
    </dxf>
    <dxf>
      <border>
        <right style="thin">
          <color indexed="64"/>
        </right>
      </border>
    </dxf>
    <dxf>
      <border>
        <right style="thin">
          <color indexed="64"/>
        </right>
      </border>
    </dxf>
    <dxf>
      <border>
        <right style="thin">
          <color indexed="64"/>
        </right>
      </border>
    </dxf>
    <dxf>
      <alignment horizontal="center"/>
    </dxf>
    <dxf>
      <alignment horizontal="center"/>
    </dxf>
    <dxf>
      <alignment horizontal="center" vertical="center" textRotation="0" wrapText="0" indent="0" justifyLastLine="0" shrinkToFit="0" readingOrder="0"/>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strike val="0"/>
        <outline val="0"/>
        <shadow val="0"/>
        <u val="none"/>
        <vertAlign val="baseline"/>
        <sz val="11"/>
        <color theme="1"/>
        <name val="Microsoft YaHei"/>
        <family val="2"/>
        <scheme val="none"/>
      </font>
      <alignment horizontal="center" vertical="bottom" textRotation="0" wrapText="0" indent="0" justifyLastLine="0" shrinkToFit="0" readingOrder="0"/>
    </dxf>
    <dxf>
      <numFmt numFmtId="0" formatCode="General"/>
      <alignment horizontal="right" vertical="bottom"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fill>
        <patternFill patternType="solid">
          <fgColor indexed="64"/>
          <bgColor theme="0" tint="-4.9989318521683403E-2"/>
        </patternFill>
      </fill>
    </dxf>
    <dxf>
      <numFmt numFmtId="0" formatCode="General"/>
      <fill>
        <patternFill patternType="solid">
          <fgColor indexed="64"/>
          <bgColor theme="0" tint="-4.9989318521683403E-2"/>
        </patternFill>
      </fill>
    </dxf>
    <dxf>
      <numFmt numFmtId="30" formatCode="@"/>
    </dxf>
    <dxf>
      <numFmt numFmtId="1" formatCode="0"/>
    </dxf>
    <dxf>
      <numFmt numFmtId="30" formatCode="@"/>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30" formatCode="@"/>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center"/>
    </dxf>
    <dxf>
      <alignment horizontal="center"/>
    </dxf>
    <dxf>
      <border>
        <right style="thin">
          <color indexed="64"/>
        </right>
      </border>
    </dxf>
    <dxf>
      <border>
        <right style="thin">
          <color indexed="64"/>
        </right>
      </border>
    </dxf>
    <dxf>
      <border>
        <right style="thin">
          <color indexed="64"/>
        </right>
      </border>
    </dxf>
    <dxf>
      <border>
        <right style="thin">
          <color indexed="64"/>
        </right>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s>
  <tableStyles count="1" defaultTableStyle="TableStyleMedium2" defaultPivotStyle="PivotStyleLight16">
    <tableStyle name="Neutre" pivot="0" count="0" xr9:uid="{6361CA36-85CB-4715-BBC4-33F0F5CC9D8A}"/>
  </tableStyles>
  <colors>
    <mruColors>
      <color rgb="FF8271FF"/>
      <color rgb="FFA365D1"/>
      <color rgb="FFF27E7E"/>
      <color rgb="FFFF7C8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customXml" Target="../customXml/item1.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330.614709837966" createdVersion="8" refreshedVersion="8" minRefreshableVersion="3" recordCount="36" xr:uid="{B2C4A21F-6C02-4AD4-B33F-9B17E06CB94F}">
  <cacheSource type="worksheet">
    <worksheetSource name="Aspects"/>
  </cacheSource>
  <cacheFields count="22">
    <cacheField name="Aspect" numFmtId="0">
      <sharedItems/>
    </cacheField>
    <cacheField name="Physique" numFmtId="0">
      <sharedItems/>
    </cacheField>
    <cacheField name="Phy min" numFmtId="1">
      <sharedItems containsSemiMixedTypes="0" containsString="0" containsNumber="1" containsInteger="1" minValue="0" maxValue="15"/>
    </cacheField>
    <cacheField name="Phy max" numFmtId="1">
      <sharedItems containsString="0" containsBlank="1" containsNumber="1" containsInteger="1" minValue="10" maxValue="30"/>
    </cacheField>
    <cacheField name="Mental" numFmtId="0">
      <sharedItems/>
    </cacheField>
    <cacheField name="Men min" numFmtId="1">
      <sharedItems containsSemiMixedTypes="0" containsString="0" containsNumber="1" containsInteger="1" minValue="0" maxValue="15"/>
    </cacheField>
    <cacheField name="Men max" numFmtId="1">
      <sharedItems containsString="0" containsBlank="1" containsNumber="1" containsInteger="1" minValue="10" maxValue="30"/>
    </cacheField>
    <cacheField name="Charactère" numFmtId="0">
      <sharedItems/>
    </cacheField>
    <cacheField name="Cha min" numFmtId="1">
      <sharedItems containsString="0" containsBlank="1" containsNumber="1" containsInteger="1" minValue="0" maxValue="15"/>
    </cacheField>
    <cacheField name="Cha max" numFmtId="1">
      <sharedItems containsString="0" containsBlank="1" containsNumber="1" containsInteger="1" minValue="18" maxValue="25"/>
    </cacheField>
    <cacheField name="Min stats" numFmtId="1">
      <sharedItems containsSemiMixedTypes="0" containsString="0" containsNumber="1" containsInteger="1" minValue="15" maxValue="35"/>
    </cacheField>
    <cacheField name="Max stats" numFmtId="1">
      <sharedItems containsSemiMixedTypes="0" containsString="0" containsNumber="1" containsInteger="1" minValue="0" maxValue="65"/>
    </cacheField>
    <cacheField name="Range stats" numFmtId="1">
      <sharedItems containsSemiMixedTypes="0" containsString="0" containsNumber="1" containsInteger="1" minValue="0" maxValue="35"/>
    </cacheField>
    <cacheField name="Stat favorite" numFmtId="1">
      <sharedItems containsBlank="1" count="8">
        <s v="Force"/>
        <s v="Dextérité"/>
        <s v="Éloquence"/>
        <s v="Intelligence"/>
        <s v="Curiosité"/>
        <s v="Psyché"/>
        <s v="Résilience"/>
        <m u="1"/>
      </sharedItems>
    </cacheField>
    <cacheField name="Alignement" numFmtId="49">
      <sharedItems/>
    </cacheField>
    <cacheField name="Bonté" numFmtId="0">
      <sharedItems count="3">
        <s v="Bon"/>
        <s v="Mauvais"/>
        <s v="Neutre"/>
      </sharedItems>
    </cacheField>
    <cacheField name="Loyauté" numFmtId="0">
      <sharedItems count="3">
        <s v="Neutre"/>
        <s v="Chaotique"/>
        <s v="Loyal"/>
      </sharedItems>
    </cacheField>
    <cacheField name="Magie" numFmtId="0">
      <sharedItems containsSemiMixedTypes="0" containsString="0" containsNumber="1" containsInteger="1" minValue="1" maxValue="2"/>
    </cacheField>
    <cacheField name="Min" numFmtId="0">
      <sharedItems containsSemiMixedTypes="0" containsString="0" containsNumber="1" containsInteger="1" minValue="1" maxValue="1"/>
    </cacheField>
    <cacheField name="Max" numFmtId="0">
      <sharedItems containsSemiMixedTypes="0" containsString="0" containsNumber="1" containsInteger="1" minValue="0" maxValue="1"/>
    </cacheField>
    <cacheField name="Range" numFmtId="0">
      <sharedItems containsSemiMixedTypes="0" containsString="0" containsNumber="1" containsInteger="1" minValue="0" maxValue="1"/>
    </cacheField>
    <cacheField name="Commentaire"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eace" refreshedDate="45792.013266203707" createdVersion="8" refreshedVersion="8" minRefreshableVersion="3" recordCount="117" xr:uid="{805874E3-90C4-4A74-B6B7-26F78E8EC6CD}">
  <cacheSource type="worksheet">
    <worksheetSource name="Sorts"/>
  </cacheSource>
  <cacheFields count="11">
    <cacheField name="Sort" numFmtId="0">
      <sharedItems containsBlank="1"/>
    </cacheField>
    <cacheField name="Rang" numFmtId="0">
      <sharedItems containsSemiMixedTypes="0" containsString="0" containsNumber="1" containsInteger="1" minValue="1" maxValue="3" count="3">
        <n v="1"/>
        <n v="2"/>
        <n v="3"/>
      </sharedItems>
    </cacheField>
    <cacheField name="Type" numFmtId="0">
      <sharedItems containsBlank="1" count="4">
        <s v="Precision"/>
        <s v="Savoir"/>
        <s v="Instinct"/>
        <m/>
      </sharedItems>
    </cacheField>
    <cacheField name="Element" numFmtId="0">
      <sharedItems count="9">
        <s v="Feu"/>
        <s v="Glace"/>
        <s v="Foudre"/>
        <s v="Terre"/>
        <s v="Arcane"/>
        <s v="Air"/>
        <s v="Nature"/>
        <s v="Lumière"/>
        <s v="Psy"/>
      </sharedItems>
    </cacheField>
    <cacheField name="Coût" numFmtId="0">
      <sharedItems containsString="0" containsBlank="1" containsNumber="1" containsInteger="1" minValue="2" maxValue="9"/>
    </cacheField>
    <cacheField name="Incantation" numFmtId="0">
      <sharedItems containsBlank="1"/>
    </cacheField>
    <cacheField name="Concentration" numFmtId="0">
      <sharedItems containsSemiMixedTypes="0" containsString="0" containsNumber="1" containsInteger="1" minValue="0" maxValue="1"/>
    </cacheField>
    <cacheField name="Distance" numFmtId="0">
      <sharedItems containsBlank="1"/>
    </cacheField>
    <cacheField name="Categorie" numFmtId="0">
      <sharedItems containsBlank="1"/>
    </cacheField>
    <cacheField name="Commentaire" numFmtId="0">
      <sharedItems containsBlank="1" count="3">
        <m/>
        <s v="TODO"/>
        <s v="IDEE: Télékinesie"/>
      </sharedItems>
    </cacheField>
    <cacheField name="Description"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Akkatom"/>
    <s v="15 - "/>
    <n v="15"/>
    <m/>
    <s v="8 - "/>
    <n v="8"/>
    <m/>
    <s v="8 - "/>
    <n v="8"/>
    <m/>
    <n v="31"/>
    <n v="0"/>
    <n v="0"/>
    <x v="0"/>
    <s v="Neutre bon"/>
    <x v="0"/>
    <x v="0"/>
    <n v="2"/>
    <n v="1"/>
    <n v="0"/>
    <n v="0"/>
    <m/>
  </r>
  <r>
    <s v="Rudnard"/>
    <s v="12 - "/>
    <n v="12"/>
    <m/>
    <s v="8 - 25"/>
    <n v="8"/>
    <n v="25"/>
    <s v="10 - "/>
    <n v="10"/>
    <m/>
    <n v="30"/>
    <n v="25"/>
    <n v="0"/>
    <x v="1"/>
    <s v="Chaotique bon"/>
    <x v="0"/>
    <x v="1"/>
    <n v="2"/>
    <n v="1"/>
    <n v="0"/>
    <n v="0"/>
    <m/>
  </r>
  <r>
    <s v="Beth'oit"/>
    <s v="3 - "/>
    <n v="3"/>
    <m/>
    <s v="10 - "/>
    <n v="10"/>
    <m/>
    <s v="12 - "/>
    <n v="12"/>
    <m/>
    <n v="25"/>
    <n v="0"/>
    <n v="0"/>
    <x v="2"/>
    <s v="Loyal bon"/>
    <x v="0"/>
    <x v="2"/>
    <n v="2"/>
    <n v="1"/>
    <n v="0"/>
    <n v="0"/>
    <m/>
  </r>
  <r>
    <s v="Shelfine"/>
    <s v="5 - "/>
    <n v="5"/>
    <m/>
    <s v="12 - "/>
    <n v="12"/>
    <m/>
    <s v="5 - "/>
    <n v="5"/>
    <m/>
    <n v="22"/>
    <n v="0"/>
    <n v="0"/>
    <x v="3"/>
    <s v="Chaotique bon"/>
    <x v="0"/>
    <x v="1"/>
    <n v="2"/>
    <n v="1"/>
    <n v="0"/>
    <n v="0"/>
    <m/>
  </r>
  <r>
    <s v="Ka Bii"/>
    <s v="3 - "/>
    <n v="3"/>
    <m/>
    <s v="12 - "/>
    <n v="12"/>
    <m/>
    <s v="10 - "/>
    <n v="10"/>
    <m/>
    <n v="25"/>
    <n v="0"/>
    <n v="0"/>
    <x v="4"/>
    <s v="Loyal bon"/>
    <x v="0"/>
    <x v="2"/>
    <n v="2"/>
    <n v="1"/>
    <n v="0"/>
    <n v="0"/>
    <m/>
  </r>
  <r>
    <s v="Drinbuur"/>
    <s v="12 - "/>
    <n v="12"/>
    <m/>
    <s v="8 - "/>
    <n v="8"/>
    <m/>
    <s v="15 - "/>
    <n v="15"/>
    <m/>
    <n v="35"/>
    <n v="0"/>
    <n v="0"/>
    <x v="5"/>
    <s v="Neutre bon"/>
    <x v="0"/>
    <x v="0"/>
    <n v="2"/>
    <n v="1"/>
    <n v="0"/>
    <n v="0"/>
    <m/>
  </r>
  <r>
    <s v="Zaliax"/>
    <s v="10 - "/>
    <n v="10"/>
    <m/>
    <s v="0 - "/>
    <n v="0"/>
    <m/>
    <s v="10 - "/>
    <n v="10"/>
    <m/>
    <n v="20"/>
    <n v="0"/>
    <n v="0"/>
    <x v="0"/>
    <s v="Loyal mauvais"/>
    <x v="1"/>
    <x v="2"/>
    <n v="1"/>
    <n v="1"/>
    <n v="0"/>
    <n v="0"/>
    <m/>
  </r>
  <r>
    <s v="Doa Tua"/>
    <s v="8 - "/>
    <n v="8"/>
    <m/>
    <s v="0 - "/>
    <n v="0"/>
    <m/>
    <s v="15 - "/>
    <n v="15"/>
    <m/>
    <n v="23"/>
    <n v="0"/>
    <n v="0"/>
    <x v="2"/>
    <s v="Neutre mauvais"/>
    <x v="1"/>
    <x v="0"/>
    <n v="1"/>
    <n v="1"/>
    <n v="0"/>
    <n v="0"/>
    <m/>
  </r>
  <r>
    <s v="Goldreg"/>
    <s v="5 - "/>
    <n v="5"/>
    <m/>
    <s v="3 - "/>
    <n v="3"/>
    <m/>
    <s v="10 - "/>
    <n v="10"/>
    <m/>
    <n v="18"/>
    <n v="0"/>
    <n v="0"/>
    <x v="5"/>
    <s v="Loyal mauvais"/>
    <x v="1"/>
    <x v="2"/>
    <n v="1"/>
    <n v="1"/>
    <n v="0"/>
    <n v="0"/>
    <m/>
  </r>
  <r>
    <s v="Qua'faltar"/>
    <s v="10 - "/>
    <n v="10"/>
    <m/>
    <s v="8 - "/>
    <n v="8"/>
    <m/>
    <s v="12 - "/>
    <n v="12"/>
    <m/>
    <n v="30"/>
    <n v="0"/>
    <n v="0"/>
    <x v="5"/>
    <s v="Chaotique mauvais"/>
    <x v="1"/>
    <x v="1"/>
    <n v="2"/>
    <n v="1"/>
    <n v="0"/>
    <n v="0"/>
    <m/>
  </r>
  <r>
    <s v="Shlahog"/>
    <s v="15 - "/>
    <n v="15"/>
    <m/>
    <s v="8 - "/>
    <n v="8"/>
    <m/>
    <s v="10 - "/>
    <n v="10"/>
    <m/>
    <n v="33"/>
    <n v="0"/>
    <n v="0"/>
    <x v="0"/>
    <s v="Chaotique mauvais"/>
    <x v="1"/>
    <x v="1"/>
    <n v="2"/>
    <n v="1"/>
    <n v="0"/>
    <n v="0"/>
    <m/>
  </r>
  <r>
    <s v="Urdi'rik"/>
    <s v="10 - "/>
    <n v="10"/>
    <m/>
    <s v="8 - "/>
    <n v="8"/>
    <m/>
    <s v="5 - "/>
    <n v="5"/>
    <m/>
    <n v="23"/>
    <n v="0"/>
    <n v="0"/>
    <x v="6"/>
    <s v="Loyal mauvais"/>
    <x v="1"/>
    <x v="2"/>
    <n v="2"/>
    <n v="1"/>
    <n v="0"/>
    <n v="0"/>
    <m/>
  </r>
  <r>
    <s v="Asnol"/>
    <s v="3 - "/>
    <n v="3"/>
    <m/>
    <s v="8 - "/>
    <n v="8"/>
    <m/>
    <s v="12 - "/>
    <n v="12"/>
    <m/>
    <n v="23"/>
    <n v="0"/>
    <n v="0"/>
    <x v="3"/>
    <s v="Neutre mauvais"/>
    <x v="1"/>
    <x v="0"/>
    <n v="2"/>
    <n v="1"/>
    <n v="0"/>
    <n v="0"/>
    <m/>
  </r>
  <r>
    <s v="Promolide"/>
    <s v="15 - "/>
    <n v="15"/>
    <m/>
    <s v="10 - "/>
    <n v="10"/>
    <m/>
    <s v="10 - "/>
    <n v="10"/>
    <m/>
    <n v="35"/>
    <n v="0"/>
    <n v="0"/>
    <x v="6"/>
    <s v="Chaotique mauvais"/>
    <x v="1"/>
    <x v="1"/>
    <n v="2"/>
    <n v="1"/>
    <n v="0"/>
    <n v="0"/>
    <m/>
  </r>
  <r>
    <s v="Kronian"/>
    <s v="3 - "/>
    <n v="3"/>
    <m/>
    <s v="10 - "/>
    <n v="10"/>
    <m/>
    <s v="15 - "/>
    <n v="15"/>
    <m/>
    <n v="28"/>
    <n v="0"/>
    <n v="0"/>
    <x v="5"/>
    <s v="Neutre mauvais"/>
    <x v="1"/>
    <x v="0"/>
    <n v="2"/>
    <n v="1"/>
    <n v="0"/>
    <n v="0"/>
    <m/>
  </r>
  <r>
    <s v="Othompa"/>
    <s v="8 - "/>
    <n v="8"/>
    <m/>
    <s v="10 - "/>
    <n v="10"/>
    <m/>
    <s v="12 - "/>
    <n v="12"/>
    <m/>
    <n v="30"/>
    <n v="0"/>
    <n v="0"/>
    <x v="5"/>
    <s v="Neutre mauvais"/>
    <x v="1"/>
    <x v="0"/>
    <n v="2"/>
    <n v="1"/>
    <n v="0"/>
    <n v="0"/>
    <m/>
  </r>
  <r>
    <s v="Mul'dekar"/>
    <s v="8 - "/>
    <n v="8"/>
    <m/>
    <s v="12 - "/>
    <n v="12"/>
    <m/>
    <s v="10 - "/>
    <n v="10"/>
    <m/>
    <n v="30"/>
    <n v="0"/>
    <n v="0"/>
    <x v="4"/>
    <s v="Neutre mauvais"/>
    <x v="1"/>
    <x v="0"/>
    <n v="2"/>
    <n v="1"/>
    <n v="0"/>
    <n v="0"/>
    <m/>
  </r>
  <r>
    <s v="Lonidae"/>
    <s v="3 - "/>
    <n v="3"/>
    <m/>
    <s v="15 - "/>
    <n v="15"/>
    <m/>
    <s v="10 - "/>
    <n v="10"/>
    <m/>
    <n v="28"/>
    <n v="0"/>
    <n v="0"/>
    <x v="3"/>
    <s v="Chaotique mauvais"/>
    <x v="1"/>
    <x v="1"/>
    <n v="2"/>
    <n v="1"/>
    <n v="0"/>
    <n v="0"/>
    <m/>
  </r>
  <r>
    <s v="Thymeïr"/>
    <s v="15 - "/>
    <n v="15"/>
    <m/>
    <s v="3 - "/>
    <n v="3"/>
    <m/>
    <s v="10 - "/>
    <n v="10"/>
    <m/>
    <n v="28"/>
    <n v="0"/>
    <n v="0"/>
    <x v="0"/>
    <s v="Chaotique mauvais"/>
    <x v="1"/>
    <x v="1"/>
    <n v="1"/>
    <n v="1"/>
    <n v="0"/>
    <n v="0"/>
    <m/>
  </r>
  <r>
    <s v="Incabat"/>
    <s v="15 - "/>
    <n v="15"/>
    <m/>
    <s v="3 - "/>
    <n v="3"/>
    <m/>
    <s v="12 - "/>
    <n v="12"/>
    <m/>
    <n v="30"/>
    <n v="0"/>
    <n v="0"/>
    <x v="6"/>
    <s v="Neutre mauvais"/>
    <x v="1"/>
    <x v="0"/>
    <n v="1"/>
    <n v="1"/>
    <n v="0"/>
    <n v="0"/>
    <m/>
  </r>
  <r>
    <s v="Digride"/>
    <s v="10 - 20"/>
    <n v="10"/>
    <n v="20"/>
    <s v="8 - 20"/>
    <n v="8"/>
    <n v="20"/>
    <s v="12 - 25"/>
    <n v="12"/>
    <n v="25"/>
    <n v="30"/>
    <n v="65"/>
    <n v="35"/>
    <x v="1"/>
    <s v="Neutre mauvais"/>
    <x v="1"/>
    <x v="0"/>
    <n v="2"/>
    <n v="1"/>
    <n v="1"/>
    <n v="1"/>
    <m/>
  </r>
  <r>
    <s v="Jernius"/>
    <s v="5 - "/>
    <n v="5"/>
    <m/>
    <s v="5 - "/>
    <n v="5"/>
    <m/>
    <s v="5 - "/>
    <n v="5"/>
    <m/>
    <n v="15"/>
    <n v="0"/>
    <n v="0"/>
    <x v="4"/>
    <s v="Neutre"/>
    <x v="2"/>
    <x v="0"/>
    <n v="1"/>
    <n v="1"/>
    <n v="0"/>
    <n v="0"/>
    <s v="Exception, ne pas monter plus le mental"/>
  </r>
  <r>
    <s v="Calderan"/>
    <s v="5 - "/>
    <n v="5"/>
    <m/>
    <s v="8 - "/>
    <n v="8"/>
    <m/>
    <s v="5 - "/>
    <n v="5"/>
    <m/>
    <n v="18"/>
    <n v="0"/>
    <n v="0"/>
    <x v="3"/>
    <s v="Loyal neutre"/>
    <x v="2"/>
    <x v="2"/>
    <n v="2"/>
    <n v="1"/>
    <n v="0"/>
    <n v="0"/>
    <m/>
  </r>
  <r>
    <s v="Nigiak"/>
    <s v="3 - "/>
    <n v="3"/>
    <m/>
    <s v="8 - "/>
    <n v="8"/>
    <m/>
    <s v="8 - "/>
    <n v="8"/>
    <m/>
    <n v="19"/>
    <n v="0"/>
    <n v="0"/>
    <x v="2"/>
    <s v="Loyal neutre"/>
    <x v="2"/>
    <x v="2"/>
    <n v="2"/>
    <n v="1"/>
    <n v="0"/>
    <n v="0"/>
    <m/>
  </r>
  <r>
    <s v="Yinkovn"/>
    <s v="0 - "/>
    <n v="0"/>
    <m/>
    <s v="8 - "/>
    <n v="8"/>
    <m/>
    <s v="15 - "/>
    <n v="15"/>
    <m/>
    <n v="23"/>
    <n v="0"/>
    <n v="0"/>
    <x v="5"/>
    <s v="Neutre"/>
    <x v="2"/>
    <x v="0"/>
    <n v="2"/>
    <n v="1"/>
    <n v="0"/>
    <n v="0"/>
    <m/>
  </r>
  <r>
    <s v="Miador"/>
    <s v="8 - "/>
    <n v="8"/>
    <m/>
    <s v="10 - "/>
    <n v="10"/>
    <m/>
    <s v="0 - "/>
    <n v="0"/>
    <m/>
    <n v="18"/>
    <n v="0"/>
    <n v="0"/>
    <x v="1"/>
    <s v="Loyal neutre"/>
    <x v="2"/>
    <x v="2"/>
    <n v="2"/>
    <n v="1"/>
    <n v="0"/>
    <n v="0"/>
    <m/>
  </r>
  <r>
    <s v="Hashura"/>
    <s v="8 - "/>
    <n v="8"/>
    <m/>
    <s v="10 - "/>
    <n v="10"/>
    <m/>
    <s v="12 - "/>
    <n v="12"/>
    <m/>
    <n v="30"/>
    <n v="0"/>
    <n v="0"/>
    <x v="2"/>
    <s v="Neutre"/>
    <x v="2"/>
    <x v="0"/>
    <n v="2"/>
    <n v="1"/>
    <n v="0"/>
    <n v="0"/>
    <m/>
  </r>
  <r>
    <s v="Nyelis"/>
    <s v="5 - "/>
    <n v="5"/>
    <m/>
    <s v="10 - "/>
    <n v="10"/>
    <m/>
    <s v="5 - "/>
    <n v="5"/>
    <m/>
    <n v="20"/>
    <n v="0"/>
    <n v="0"/>
    <x v="4"/>
    <s v="Neutre"/>
    <x v="2"/>
    <x v="0"/>
    <n v="2"/>
    <n v="1"/>
    <n v="0"/>
    <n v="0"/>
    <m/>
  </r>
  <r>
    <s v="Onimee"/>
    <s v="12 - "/>
    <n v="12"/>
    <m/>
    <s v="0 - "/>
    <n v="0"/>
    <m/>
    <s v="8 - "/>
    <n v="8"/>
    <m/>
    <n v="20"/>
    <n v="0"/>
    <n v="0"/>
    <x v="1"/>
    <s v="Chaotique neutre"/>
    <x v="2"/>
    <x v="1"/>
    <n v="1"/>
    <n v="1"/>
    <n v="0"/>
    <n v="0"/>
    <m/>
  </r>
  <r>
    <s v="Zeniom"/>
    <s v="5 - "/>
    <n v="5"/>
    <m/>
    <s v="10 - "/>
    <n v="10"/>
    <m/>
    <s v="12 - "/>
    <n v="12"/>
    <m/>
    <n v="27"/>
    <n v="0"/>
    <n v="0"/>
    <x v="2"/>
    <s v="Chaotique neutre"/>
    <x v="2"/>
    <x v="1"/>
    <n v="2"/>
    <n v="1"/>
    <n v="0"/>
    <n v="0"/>
    <m/>
  </r>
  <r>
    <s v="Vadeaxil"/>
    <s v="15 - "/>
    <n v="15"/>
    <m/>
    <s v="12 - "/>
    <n v="12"/>
    <m/>
    <s v="0 - "/>
    <n v="0"/>
    <m/>
    <n v="27"/>
    <n v="0"/>
    <n v="0"/>
    <x v="0"/>
    <s v="Neutre"/>
    <x v="2"/>
    <x v="0"/>
    <n v="2"/>
    <n v="1"/>
    <n v="0"/>
    <n v="0"/>
    <m/>
  </r>
  <r>
    <s v="Kuelid"/>
    <s v="0 - "/>
    <n v="0"/>
    <m/>
    <s v="15 - "/>
    <n v="15"/>
    <m/>
    <s v="5 - "/>
    <n v="5"/>
    <m/>
    <n v="20"/>
    <n v="0"/>
    <n v="0"/>
    <x v="3"/>
    <s v="Loyal neutre"/>
    <x v="2"/>
    <x v="2"/>
    <n v="2"/>
    <n v="1"/>
    <n v="0"/>
    <n v="0"/>
    <m/>
  </r>
  <r>
    <s v="Franeline"/>
    <s v="10 - "/>
    <n v="10"/>
    <m/>
    <s v="12 - "/>
    <n v="12"/>
    <m/>
    <s v=" - "/>
    <m/>
    <m/>
    <n v="22"/>
    <n v="0"/>
    <n v="0"/>
    <x v="1"/>
    <s v="Neutre"/>
    <x v="2"/>
    <x v="0"/>
    <n v="2"/>
    <n v="1"/>
    <n v="0"/>
    <n v="0"/>
    <m/>
  </r>
  <r>
    <s v="Arsinam"/>
    <s v="15 - "/>
    <n v="15"/>
    <m/>
    <s v="5 - "/>
    <n v="5"/>
    <m/>
    <s v=" - "/>
    <m/>
    <m/>
    <n v="20"/>
    <n v="0"/>
    <n v="0"/>
    <x v="6"/>
    <s v="Chaotique neutre"/>
    <x v="2"/>
    <x v="1"/>
    <n v="1"/>
    <n v="1"/>
    <n v="0"/>
    <n v="0"/>
    <m/>
  </r>
  <r>
    <s v="Brukaur"/>
    <s v="15 - 30"/>
    <n v="15"/>
    <n v="30"/>
    <s v="3 - 10"/>
    <n v="3"/>
    <n v="10"/>
    <s v="8 - 20"/>
    <n v="8"/>
    <n v="20"/>
    <n v="26"/>
    <n v="60"/>
    <n v="34"/>
    <x v="6"/>
    <s v="Chaotique neutre"/>
    <x v="2"/>
    <x v="1"/>
    <n v="1"/>
    <n v="1"/>
    <n v="1"/>
    <n v="1"/>
    <m/>
  </r>
  <r>
    <s v="Anseilid"/>
    <s v="3 - 10"/>
    <n v="3"/>
    <n v="10"/>
    <s v="15 - 30"/>
    <n v="15"/>
    <n v="30"/>
    <s v="10 - 18"/>
    <n v="10"/>
    <n v="18"/>
    <n v="28"/>
    <n v="58"/>
    <n v="30"/>
    <x v="3"/>
    <s v="Chaotique neutre"/>
    <x v="2"/>
    <x v="1"/>
    <n v="2"/>
    <n v="1"/>
    <n v="1"/>
    <n v="1"/>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17">
  <r>
    <s v="Trait de feu"/>
    <x v="0"/>
    <x v="0"/>
    <x v="0"/>
    <n v="3"/>
    <s v="action"/>
    <n v="0"/>
    <s v="12 cases"/>
    <s v="Dégats"/>
    <x v="0"/>
    <s v="&gt;Faites un jet d'attaque avec la [[1. Entrainement#La dextérité|dextérité]]. Tire un faisceau de flamme, infligeant 2d8 dégâts de feu en touchant."/>
  </r>
  <r>
    <s v="Echauffement"/>
    <x v="0"/>
    <x v="1"/>
    <x v="0"/>
    <n v="2"/>
    <s v="action"/>
    <n v="0"/>
    <s v="3 cases"/>
    <s v="Buff"/>
    <x v="0"/>
    <s v="&gt;Chauffe à blanc une arme ou un projectile. Jusqu'au début de votre prochain tour, les coups portés avec l'objet infligent 1d6 dégâts supplémentaire. Les dégâts de l'arme deviennent des dégâts de feu."/>
  </r>
  <r>
    <s v="Projection bouillonnante"/>
    <x v="0"/>
    <x v="0"/>
    <x v="0"/>
    <n v="6"/>
    <s v="action"/>
    <n v="0"/>
    <s v="9 cases"/>
    <s v="Dégats"/>
    <x v="0"/>
    <s v="&gt;Lance un projectile de feu éclatant sur 3 cases de rayon. Chaque personne dans le rayon doit réussir un [[3. Résistance aux chocs#Le jet de résistance|jet de résistance]](d10/6 + mod. d'[[1. Entrainement#L'intelligence|intelligence]]) ou subit 2d8 dégâts de feu."/>
  </r>
  <r>
    <s v="Corps ardent"/>
    <x v="0"/>
    <x v="1"/>
    <x v="0"/>
    <n v="6"/>
    <s v="action"/>
    <n v="1"/>
    <s v="Personnel"/>
    <s v="Dégats"/>
    <x v="0"/>
    <s v="&gt;Pendant 5 tours, toute personne terminant son tour à une case de vous subit 1d10 dégâts de feu."/>
  </r>
  <r>
    <s v="Gravure marquante"/>
    <x v="0"/>
    <x v="1"/>
    <x v="0"/>
    <n v="3"/>
    <s v="10 minutes"/>
    <n v="0"/>
    <s v="Toucher"/>
    <s v="Utilitaire"/>
    <x v="0"/>
    <s v="&gt; Grave une marque discrète sur un objet, restant durant 3 jours ou jusqu'à ce que quelqu'un rentre en contact avec la marque, auquel cas cette dernière lui sera gravée avec une désagréable sensation de brulure. La brulure disparait après 3 jours."/>
  </r>
  <r>
    <m/>
    <x v="0"/>
    <x v="2"/>
    <x v="0"/>
    <m/>
    <s v="reaction"/>
    <n v="0"/>
    <m/>
    <s v="Support"/>
    <x v="1"/>
    <m/>
  </r>
  <r>
    <s v="Protection supérieure"/>
    <x v="0"/>
    <x v="2"/>
    <x v="1"/>
    <n v="3"/>
    <s v="reaction"/>
    <n v="0"/>
    <s v="Personnel"/>
    <s v="Tank"/>
    <x v="0"/>
    <s v="&gt;Votre armure subit l'intégralité des dégâts sur le prochain coup."/>
  </r>
  <r>
    <s v="Lames de glace"/>
    <x v="0"/>
    <x v="0"/>
    <x v="1"/>
    <n v="3"/>
    <s v="action"/>
    <n v="0"/>
    <s v="12 cases"/>
    <s v="Dégats"/>
    <x v="0"/>
    <s v="&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
  </r>
  <r>
    <m/>
    <x v="0"/>
    <x v="1"/>
    <x v="1"/>
    <m/>
    <s v="action"/>
    <n v="0"/>
    <m/>
    <s v="Mouvement"/>
    <x v="1"/>
    <m/>
  </r>
  <r>
    <m/>
    <x v="0"/>
    <x v="1"/>
    <x v="1"/>
    <m/>
    <s v="action"/>
    <n v="1"/>
    <m/>
    <s v="Utilitaire"/>
    <x v="1"/>
    <m/>
  </r>
  <r>
    <m/>
    <x v="0"/>
    <x v="2"/>
    <x v="1"/>
    <m/>
    <s v="action"/>
    <n v="0"/>
    <m/>
    <s v="Buff"/>
    <x v="1"/>
    <m/>
  </r>
  <r>
    <m/>
    <x v="0"/>
    <x v="0"/>
    <x v="1"/>
    <m/>
    <s v="action"/>
    <n v="0"/>
    <m/>
    <s v="Dégats"/>
    <x v="1"/>
    <m/>
  </r>
  <r>
    <s v="Chaine de foudre"/>
    <x v="0"/>
    <x v="0"/>
    <x v="2"/>
    <n v="3"/>
    <s v="action"/>
    <n v="0"/>
    <s v="12 cases"/>
    <s v="Dégats"/>
    <x v="0"/>
    <s v="&gt;Faites un jet d'attaque avec la [[1. Entrainement#Dextérité|dextérité]]. Frappe une cible visible puis rebondit sur jusqu'à 2 autres cibles. Inflige 1d8[[2. Glossaire#Jet explosif|!]] dégâts de foudre."/>
  </r>
  <r>
    <s v="Vitesse lumière"/>
    <x v="0"/>
    <x v="1"/>
    <x v="2"/>
    <n v="2"/>
    <s v="action"/>
    <n v="0"/>
    <s v="Personnel"/>
    <s v="Mouvement"/>
    <x v="0"/>
    <s v="&gt;Se téléporte à 6 cases tant que vous pouvez voir et courir vers la destination."/>
  </r>
  <r>
    <s v="Décharge de foudre"/>
    <x v="0"/>
    <x v="0"/>
    <x v="2"/>
    <n v="3"/>
    <s v="action"/>
    <n v="0"/>
    <s v="12 cases"/>
    <s v="Dégats"/>
    <x v="0"/>
    <s v="&gt;Faites un jet d'attaque avec la [[1. Entrainement#La dextérité|dextérité]]. Tire une décharge foudroyante d'énergie, infligeant 4d4[[2. Glossaire#Jet explosif|!]] dégâts de foudre."/>
  </r>
  <r>
    <m/>
    <x v="0"/>
    <x v="2"/>
    <x v="2"/>
    <m/>
    <s v="action"/>
    <n v="0"/>
    <m/>
    <s v="Debuff"/>
    <x v="1"/>
    <m/>
  </r>
  <r>
    <m/>
    <x v="0"/>
    <x v="2"/>
    <x v="2"/>
    <m/>
    <s v="reaction"/>
    <n v="0"/>
    <m/>
    <s v="Mouvement"/>
    <x v="1"/>
    <m/>
  </r>
  <r>
    <m/>
    <x v="0"/>
    <x v="2"/>
    <x v="2"/>
    <m/>
    <s v="action"/>
    <n v="0"/>
    <m/>
    <s v="Dégats"/>
    <x v="1"/>
    <m/>
  </r>
  <r>
    <s v="No name"/>
    <x v="0"/>
    <x v="0"/>
    <x v="3"/>
    <n v="2"/>
    <s v="action"/>
    <n v="0"/>
    <s v="6 cases"/>
    <s v="Dégats"/>
    <x v="0"/>
    <s v="&gt;Faites un jet d'attaque avec la [[1. Entrainement#La dextérité|dextérité]]. Un pilier de matière est extirpé du sol pour aller frapper la cible, qui est alors déplacée d'une case. Si la cible est propulsée contre un mur, elle subit alors 3d12 dégâts contondant."/>
  </r>
  <r>
    <s v="No name"/>
    <x v="0"/>
    <x v="0"/>
    <x v="3"/>
    <n v="3"/>
    <s v="action"/>
    <n v="0"/>
    <s v="6 cases"/>
    <s v="Debuff"/>
    <x v="0"/>
    <s v="&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
  </r>
  <r>
    <s v="Bouclier tortue"/>
    <x v="0"/>
    <x v="1"/>
    <x v="3"/>
    <n v="3"/>
    <s v="action"/>
    <n v="1"/>
    <s v="Personnel"/>
    <s v="Tank"/>
    <x v="0"/>
    <s v="&gt;Durant 1 minute, vous gagnez un bonus de 2 au blocage, mais subissez également un malus de 2 à l'esquive et perdez 2 cases de vitesse de course."/>
  </r>
  <r>
    <s v="No name"/>
    <x v="0"/>
    <x v="2"/>
    <x v="3"/>
    <n v="3"/>
    <s v="reaction"/>
    <n v="0"/>
    <s v="Personnel"/>
    <s v="Tank"/>
    <x v="0"/>
    <s v="&gt; Vous gagnez une résistance aux dégâts physiques jusqu'au début de votre prochain tour."/>
  </r>
  <r>
    <m/>
    <x v="0"/>
    <x v="1"/>
    <x v="3"/>
    <m/>
    <s v="action"/>
    <n v="0"/>
    <m/>
    <s v="Support"/>
    <x v="1"/>
    <m/>
  </r>
  <r>
    <s v="Rafistolage"/>
    <x v="0"/>
    <x v="1"/>
    <x v="3"/>
    <m/>
    <s v="action"/>
    <n v="0"/>
    <s v="Toucher"/>
    <s v="Utilitaire"/>
    <x v="0"/>
    <s v="&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
  </r>
  <r>
    <s v="Enchantement mineur"/>
    <x v="0"/>
    <x v="1"/>
    <x v="4"/>
    <n v="2"/>
    <s v="action"/>
    <n v="0"/>
    <s v="Personnel"/>
    <s v="Buff"/>
    <x v="0"/>
    <s v="&gt; Condense de l'énergie magique dans une arme ou un projectile sur vous. Vous faites une attaque immédiatement après avoir lancé ce sort sans dépenser d'action, infligeant 1d8 dégâts supplémentaire. Les dégâts de l'arme deviennent magique."/>
  </r>
  <r>
    <s v="Rupture de force"/>
    <x v="0"/>
    <x v="1"/>
    <x v="4"/>
    <n v="5"/>
    <s v="action"/>
    <n v="0"/>
    <s v="6 cases"/>
    <s v="Dégats"/>
    <x v="0"/>
    <s v="&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
  </r>
  <r>
    <s v="Essence magique"/>
    <x v="0"/>
    <x v="1"/>
    <x v="4"/>
    <n v="2"/>
    <s v="action"/>
    <n v="0"/>
    <s v="Toucher"/>
    <s v="Utilitaire"/>
    <x v="0"/>
    <s v="&gt;Vous êtes capable d'identifier toutes les composantes d'un sort, d'un enchantement ou d'un objet magique. "/>
  </r>
  <r>
    <m/>
    <x v="0"/>
    <x v="2"/>
    <x v="4"/>
    <m/>
    <s v="action"/>
    <n v="0"/>
    <m/>
    <s v="Buff"/>
    <x v="1"/>
    <m/>
  </r>
  <r>
    <s v="Vision arcanique"/>
    <x v="0"/>
    <x v="1"/>
    <x v="4"/>
    <n v="3"/>
    <s v="action"/>
    <n v="1"/>
    <s v="Personnel"/>
    <s v="Utilitaire"/>
    <x v="0"/>
    <s v="&gt;Pendant 10 minutes, vous pouvez percevoir toute trace de magie sous forme de tache bleutée laissant une faible persistance sur votre rétine. "/>
  </r>
  <r>
    <m/>
    <x v="0"/>
    <x v="0"/>
    <x v="4"/>
    <m/>
    <s v="action"/>
    <n v="0"/>
    <m/>
    <s v="Utilitaire"/>
    <x v="1"/>
    <m/>
  </r>
  <r>
    <m/>
    <x v="0"/>
    <x v="1"/>
    <x v="4"/>
    <m/>
    <s v="action"/>
    <n v="0"/>
    <m/>
    <s v="Support"/>
    <x v="1"/>
    <m/>
  </r>
  <r>
    <s v="Foulée aérienne"/>
    <x v="0"/>
    <x v="1"/>
    <x v="5"/>
    <n v="3"/>
    <s v="action"/>
    <n v="0"/>
    <s v="12 cases"/>
    <s v="Buff"/>
    <x v="0"/>
    <s v="&gt;La vitesse de course de votre cible augmente de 2 cases pendant 1 minute. Elle gagne également un bonus de +1 à l'esquive."/>
  </r>
  <r>
    <s v="Pression forcée"/>
    <x v="0"/>
    <x v="0"/>
    <x v="5"/>
    <n v="5"/>
    <s v="action"/>
    <n v="0"/>
    <s v="18 cases"/>
    <s v="Mouvement"/>
    <x v="0"/>
    <s v="&gt;Crée une imposante colonne d'air descendent de 3 cases de rayon sur 12 cases de haut à 18 cases de vous. Les créatures à l'intérieur ont un malus de 1 à l'esquive. Les créatures volantes chutent de 3 cases par tour. Dure 5 tours."/>
  </r>
  <r>
    <s v="Poids plume"/>
    <x v="0"/>
    <x v="1"/>
    <x v="5"/>
    <n v="2"/>
    <s v="action"/>
    <n v="1"/>
    <s v="Toucher"/>
    <s v="Utilitaire"/>
    <x v="0"/>
    <s v="&gt;Réduit le poids d'un objet à un dixième de son poids d'origine pendant 1 minute. Fonctionne sur des objets inertes allant jusqu'à 500kg. "/>
  </r>
  <r>
    <m/>
    <x v="0"/>
    <x v="0"/>
    <x v="5"/>
    <m/>
    <s v="action"/>
    <n v="0"/>
    <m/>
    <s v="Buff"/>
    <x v="1"/>
    <m/>
  </r>
  <r>
    <m/>
    <x v="0"/>
    <x v="0"/>
    <x v="5"/>
    <m/>
    <s v="action"/>
    <n v="0"/>
    <m/>
    <s v="Dégats"/>
    <x v="1"/>
    <m/>
  </r>
  <r>
    <m/>
    <x v="0"/>
    <x v="2"/>
    <x v="5"/>
    <m/>
    <s v="action"/>
    <n v="0"/>
    <m/>
    <s v="Support"/>
    <x v="1"/>
    <m/>
  </r>
  <r>
    <s v="Conservation"/>
    <x v="0"/>
    <x v="1"/>
    <x v="6"/>
    <n v="2"/>
    <s v="1 minute"/>
    <n v="0"/>
    <s v="Toucher"/>
    <s v="Utilitaire"/>
    <x v="0"/>
    <s v="&gt;Permet à jusqu'à 5 herbes ou préparations médicinales de se conserver 1 jour de plus. *Ne peux être utilisé qu'une seule fois par herbe/préparation.*"/>
  </r>
  <r>
    <s v="No name"/>
    <x v="0"/>
    <x v="2"/>
    <x v="6"/>
    <n v="3"/>
    <s v="action"/>
    <n v="0"/>
    <s v="Toucher"/>
    <s v="Support"/>
    <x v="0"/>
    <s v="&gt; Vous récupérez un point de fatigue temporaire de la cible que vous touchez."/>
  </r>
  <r>
    <s v="No name"/>
    <x v="0"/>
    <x v="0"/>
    <x v="6"/>
    <n v="3"/>
    <s v="action"/>
    <n v="0"/>
    <s v="9 cases"/>
    <s v="Dégats"/>
    <x v="0"/>
    <s v="&gt;Faites un jet d'attaque avec la [[1. Entrainement#La dextérité|dextérité]]. Inflige 2d8+2 dégâts magique à l'armure de la cible."/>
  </r>
  <r>
    <m/>
    <x v="0"/>
    <x v="1"/>
    <x v="6"/>
    <m/>
    <m/>
    <n v="0"/>
    <m/>
    <s v="Support"/>
    <x v="1"/>
    <m/>
  </r>
  <r>
    <s v="Absorption radieuse"/>
    <x v="0"/>
    <x v="1"/>
    <x v="7"/>
    <n v="3"/>
    <s v="action"/>
    <n v="1"/>
    <s v="9 cases"/>
    <s v="Support"/>
    <x v="0"/>
    <s v="&gt; Absorbe la lumière d'une zone de 4 cases de rayon, la faisant apparaitre comme plus sombre durant 1 minute. "/>
  </r>
  <r>
    <s v="Orbe de lumière"/>
    <x v="0"/>
    <x v="1"/>
    <x v="7"/>
    <n v="2"/>
    <s v="action"/>
    <n v="0"/>
    <s v="6 cases"/>
    <s v="Utilitaire"/>
    <x v="0"/>
    <s v="&gt; Fait apparaitre une boule de lumière immatérielle illuminant d'une lumière visible à 12 cases. Peut être bougée de 6 cases avec une action libre."/>
  </r>
  <r>
    <s v="Pas des ombres"/>
    <x v="0"/>
    <x v="2"/>
    <x v="7"/>
    <n v="4"/>
    <s v="action"/>
    <n v="0"/>
    <s v="Personnel"/>
    <s v="Mouvement"/>
    <x v="0"/>
    <s v="&gt; Si vous êtes dans une zone de noir total, vous pouvez vous téléporter dans n'importe quelle autre zone de noir total à 9 cases."/>
  </r>
  <r>
    <m/>
    <x v="0"/>
    <x v="0"/>
    <x v="7"/>
    <m/>
    <m/>
    <n v="0"/>
    <m/>
    <s v="Debuff"/>
    <x v="1"/>
    <m/>
  </r>
  <r>
    <s v="No name"/>
    <x v="0"/>
    <x v="2"/>
    <x v="8"/>
    <n v="6"/>
    <s v="action"/>
    <n v="0"/>
    <s v="3 cases"/>
    <s v="Debuff"/>
    <x v="0"/>
    <s v="&gt;Envenime l'esprit de la cible, brouillant sa perception de la réalité et lui faisant voir des images subliminales de chaos. La cible fait un [[3. Résistance aux chocs#Le jet de résistance|jet de résistance]] (d8/4 + mod. de psyché) à la [[2. Liste des effets#Apeuré|peur]]."/>
  </r>
  <r>
    <m/>
    <x v="0"/>
    <x v="2"/>
    <x v="8"/>
    <m/>
    <m/>
    <n v="0"/>
    <m/>
    <s v="Dégats"/>
    <x v="1"/>
    <m/>
  </r>
  <r>
    <m/>
    <x v="0"/>
    <x v="1"/>
    <x v="8"/>
    <m/>
    <m/>
    <n v="1"/>
    <m/>
    <s v="Debuff"/>
    <x v="1"/>
    <m/>
  </r>
  <r>
    <s v="Boule de feu"/>
    <x v="1"/>
    <x v="0"/>
    <x v="0"/>
    <n v="8"/>
    <s v="action"/>
    <n v="0"/>
    <s v="18 cases"/>
    <s v="Dégats"/>
    <x v="0"/>
    <s v="&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
  </r>
  <r>
    <s v="No name"/>
    <x v="1"/>
    <x v="1"/>
    <x v="0"/>
    <n v="6"/>
    <s v="action"/>
    <n v="1"/>
    <s v="Personnel"/>
    <s v="Dégats"/>
    <x v="0"/>
    <s v="&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
  </r>
  <r>
    <m/>
    <x v="1"/>
    <x v="3"/>
    <x v="0"/>
    <m/>
    <m/>
    <n v="0"/>
    <m/>
    <s v="Debuff"/>
    <x v="1"/>
    <m/>
  </r>
  <r>
    <m/>
    <x v="1"/>
    <x v="3"/>
    <x v="0"/>
    <m/>
    <m/>
    <n v="0"/>
    <m/>
    <s v="Utilitaire"/>
    <x v="1"/>
    <m/>
  </r>
  <r>
    <m/>
    <x v="1"/>
    <x v="3"/>
    <x v="0"/>
    <m/>
    <m/>
    <n v="0"/>
    <m/>
    <s v="Support"/>
    <x v="1"/>
    <m/>
  </r>
  <r>
    <s v="Lance de givre"/>
    <x v="1"/>
    <x v="1"/>
    <x v="1"/>
    <n v="3"/>
    <s v="action"/>
    <n v="0"/>
    <s v="Toucher"/>
    <s v="Buff"/>
    <x v="0"/>
    <s v="&gt;Une lame de glace vient grandir le long d'une arme que vous touchez. Augmente la portée de l'arme d'une case. L'extension inflige des dégâts tranchants. Dure 1 min, casse après 8 coups **réussis**."/>
  </r>
  <r>
    <s v="Cône de givre"/>
    <x v="1"/>
    <x v="0"/>
    <x v="1"/>
    <n v="8"/>
    <s v="action"/>
    <n v="0"/>
    <s v="12 cases"/>
    <s v="Dégats"/>
    <x v="0"/>
    <s v="&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
  </r>
  <r>
    <s v="No name"/>
    <x v="1"/>
    <x v="2"/>
    <x v="1"/>
    <n v="5"/>
    <s v="action"/>
    <n v="0"/>
    <s v="3 cases"/>
    <s v="Debuff"/>
    <x v="1"/>
    <s v="&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
  </r>
  <r>
    <m/>
    <x v="1"/>
    <x v="3"/>
    <x v="1"/>
    <m/>
    <m/>
    <n v="0"/>
    <m/>
    <s v="Tank"/>
    <x v="1"/>
    <m/>
  </r>
  <r>
    <s v="Piège de cristal"/>
    <x v="1"/>
    <x v="1"/>
    <x v="1"/>
    <n v="6"/>
    <s v="action"/>
    <n v="0"/>
    <s v="12 cases"/>
    <s v="Dégats"/>
    <x v="0"/>
    <s v="&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
  </r>
  <r>
    <s v="Téléportation"/>
    <x v="1"/>
    <x v="2"/>
    <x v="2"/>
    <n v="4"/>
    <s v="action"/>
    <n v="0"/>
    <s v="Personnel"/>
    <s v="Mouvement"/>
    <x v="0"/>
    <s v="&gt;Se téléporte à un point visible à 9 cases max."/>
  </r>
  <r>
    <s v="Foudroiement"/>
    <x v="1"/>
    <x v="0"/>
    <x v="2"/>
    <n v="8"/>
    <s v="action"/>
    <n v="0"/>
    <s v="Personnel"/>
    <s v="Dégats"/>
    <x v="0"/>
    <s v="&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
  </r>
  <r>
    <m/>
    <x v="1"/>
    <x v="3"/>
    <x v="2"/>
    <m/>
    <m/>
    <n v="0"/>
    <m/>
    <s v="Buff"/>
    <x v="1"/>
    <m/>
  </r>
  <r>
    <m/>
    <x v="1"/>
    <x v="3"/>
    <x v="2"/>
    <m/>
    <m/>
    <n v="0"/>
    <m/>
    <s v="Debuff"/>
    <x v="1"/>
    <m/>
  </r>
  <r>
    <m/>
    <x v="1"/>
    <x v="3"/>
    <x v="2"/>
    <m/>
    <m/>
    <n v="0"/>
    <m/>
    <s v="Dégats"/>
    <x v="1"/>
    <m/>
  </r>
  <r>
    <s v="No name"/>
    <x v="1"/>
    <x v="1"/>
    <x v="3"/>
    <n v="5"/>
    <s v="action"/>
    <n v="1"/>
    <s v="6 cases"/>
    <s v="Support"/>
    <x v="0"/>
    <s v="&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
  </r>
  <r>
    <s v="No name"/>
    <x v="1"/>
    <x v="0"/>
    <x v="3"/>
    <n v="4"/>
    <s v="action"/>
    <n v="0"/>
    <s v="Personnel"/>
    <s v="Buff"/>
    <x v="0"/>
    <s v="&gt; Durant 1 minute, vos [[4. Équipement#Les armes naturelles|armes naturelles]] se recouvrent de roches, infligeant des dégâts supplémentaires égal à votre mod. d'intelligence. A chaque coup porté (réussi comme raté), les dégâts décroient d'un point jusqu'à arrivée à 0."/>
  </r>
  <r>
    <m/>
    <x v="1"/>
    <x v="3"/>
    <x v="3"/>
    <m/>
    <m/>
    <n v="0"/>
    <m/>
    <s v="Dégats"/>
    <x v="1"/>
    <m/>
  </r>
  <r>
    <m/>
    <x v="1"/>
    <x v="3"/>
    <x v="3"/>
    <m/>
    <m/>
    <n v="0"/>
    <m/>
    <m/>
    <x v="1"/>
    <m/>
  </r>
  <r>
    <m/>
    <x v="1"/>
    <x v="3"/>
    <x v="3"/>
    <m/>
    <m/>
    <n v="0"/>
    <m/>
    <m/>
    <x v="1"/>
    <m/>
  </r>
  <r>
    <s v="No name"/>
    <x v="1"/>
    <x v="2"/>
    <x v="4"/>
    <n v="5"/>
    <s v="action"/>
    <n v="0"/>
    <s v="6 cases"/>
    <s v="Debuff"/>
    <x v="0"/>
    <s v="&gt; Votre cible doit faire un [[3. Résistance aux chocs#Le jet de résistance|jet de résistance]] (d4/3 + mod. d'[[1. Entrainement#L'intelligence|intelligence]]) à l'[[2. Liste des effets#Influencé|influence]]. En cas d'échec, elle perds 2d4[[2. Glossaire#Jet explosif|!]] mana."/>
  </r>
  <r>
    <m/>
    <x v="1"/>
    <x v="0"/>
    <x v="4"/>
    <m/>
    <m/>
    <n v="0"/>
    <m/>
    <m/>
    <x v="2"/>
    <m/>
  </r>
  <r>
    <s v="Enchantement dense"/>
    <x v="1"/>
    <x v="1"/>
    <x v="4"/>
    <n v="3"/>
    <s v="action"/>
    <n v="0"/>
    <s v="Personnel"/>
    <s v="Buff"/>
    <x v="0"/>
    <s v="&gt; Condense de l'énergie magique dans toutes les arme ou projectiles sur vous. Vous faites une attaque immédiatement après avoir lancé ce sort sans dépenser d'action, avec chaque arme infligeant 1d8 dégâts supplémentaire. Les dégâts de l'arme deviennent magique."/>
  </r>
  <r>
    <s v="Enchantement tenace"/>
    <x v="1"/>
    <x v="1"/>
    <x v="4"/>
    <n v="4"/>
    <s v="action"/>
    <n v="0"/>
    <s v="Personnel"/>
    <s v="Buff"/>
    <x v="0"/>
    <s v="&gt; Condense de l'énergie magique dans une arme sur vous *jusqu'à la fin de votre prochain tour*. Vous faites une attaque immédiatement après avoir lancé ce sort sans dépenser d'action, infligeant 1d8 dégâts supplémentaire. Les dégâts de l'arme deviennent magique."/>
  </r>
  <r>
    <m/>
    <x v="1"/>
    <x v="3"/>
    <x v="4"/>
    <m/>
    <m/>
    <n v="0"/>
    <m/>
    <s v="Dégats"/>
    <x v="1"/>
    <m/>
  </r>
  <r>
    <s v="No name"/>
    <x v="1"/>
    <x v="1"/>
    <x v="5"/>
    <n v="7"/>
    <s v="action"/>
    <n v="1"/>
    <s v="9 cases"/>
    <s v="Debuff"/>
    <x v="0"/>
    <s v="&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
  </r>
  <r>
    <s v="No name"/>
    <x v="1"/>
    <x v="0"/>
    <x v="5"/>
    <n v="4"/>
    <s v="action"/>
    <n v="0"/>
    <s v="3 cases"/>
    <s v="Buff"/>
    <x v="0"/>
    <s v="&gt; Vous bénissez temporairement un arc avec la magie des vents pour les 3 prochaines attaques. Les flèches tirée par cet arc ont une vélocité accrue, les portée sont doublée et vous avez un bonus de +2 pour toucher à moyenne distance."/>
  </r>
  <r>
    <s v="No name"/>
    <x v="1"/>
    <x v="0"/>
    <x v="5"/>
    <n v="5"/>
    <s v="action"/>
    <n v="0"/>
    <s v="18 cases"/>
    <s v="Mouvement"/>
    <x v="0"/>
    <s v="&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
  </r>
  <r>
    <s v="No name"/>
    <x v="1"/>
    <x v="2"/>
    <x v="5"/>
    <n v="4"/>
    <s v="reaction"/>
    <n v="0"/>
    <s v="Personnel"/>
    <s v="Tank"/>
    <x v="0"/>
    <s v="&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
  </r>
  <r>
    <m/>
    <x v="1"/>
    <x v="3"/>
    <x v="5"/>
    <m/>
    <m/>
    <n v="0"/>
    <m/>
    <m/>
    <x v="1"/>
    <m/>
  </r>
  <r>
    <s v="No name"/>
    <x v="1"/>
    <x v="1"/>
    <x v="6"/>
    <n v="6"/>
    <s v="action"/>
    <n v="0"/>
    <s v="3 cases"/>
    <s v="Debuff"/>
    <x v="0"/>
    <s v="&gt;Votre cible doit faire un [[3. Résistance aux chocs#Le jet de résistance|jet de résistance]] (d8/5 + mod. d'[[1. Entrainement#L'intelligence|intelligence]]) aux [[1. Magie#Les sorts de savoir|sorts de savoir]]. En cas d'échec, elle subit un point de [[3. Fatigue et repos#Fatigue temporaire|fatigue temporaire]]."/>
  </r>
  <r>
    <s v="No name"/>
    <x v="1"/>
    <x v="2"/>
    <x v="6"/>
    <n v="5"/>
    <s v="reaction"/>
    <n v="0"/>
    <s v="Toucher"/>
    <s v="Support"/>
    <x v="0"/>
    <s v="&gt; Vous récupérez un point de [[3. Fatigue et repos#Fatigue persistante|fatigue persistante]] de votre cible."/>
  </r>
  <r>
    <m/>
    <x v="1"/>
    <x v="3"/>
    <x v="6"/>
    <m/>
    <m/>
    <n v="0"/>
    <m/>
    <m/>
    <x v="1"/>
    <m/>
  </r>
  <r>
    <m/>
    <x v="1"/>
    <x v="3"/>
    <x v="6"/>
    <m/>
    <m/>
    <n v="0"/>
    <m/>
    <m/>
    <x v="1"/>
    <m/>
  </r>
  <r>
    <s v="No name"/>
    <x v="1"/>
    <x v="1"/>
    <x v="7"/>
    <n v="4"/>
    <s v="action"/>
    <n v="0"/>
    <s v="Personnel"/>
    <s v="Utilitaire"/>
    <x v="0"/>
    <s v="&gt; Vous gagnez pendant 1 minute une vision dans le noir à 12 cases."/>
  </r>
  <r>
    <s v="Poussière incandescente"/>
    <x v="1"/>
    <x v="1"/>
    <x v="7"/>
    <n v="5"/>
    <s v="action"/>
    <n v="1"/>
    <s v="6 cases"/>
    <s v="Dégats"/>
    <x v="0"/>
    <s v="&gt; Crée une zone de poussière brulante de 6 cases de rayon émettant une lumière intense durant 1 minute. Finir son tour dans la poussière vous fait subir 1d6 dégâts de feu. Vous ne pouvez pas être [[6. Visibilité et lumière#Caché|caché]] dans la zone de poussière."/>
  </r>
  <r>
    <m/>
    <x v="1"/>
    <x v="3"/>
    <x v="7"/>
    <m/>
    <m/>
    <n v="0"/>
    <m/>
    <m/>
    <x v="1"/>
    <m/>
  </r>
  <r>
    <m/>
    <x v="1"/>
    <x v="3"/>
    <x v="7"/>
    <m/>
    <m/>
    <n v="0"/>
    <m/>
    <m/>
    <x v="1"/>
    <m/>
  </r>
  <r>
    <s v="Apaisement"/>
    <x v="1"/>
    <x v="1"/>
    <x v="8"/>
    <n v="3"/>
    <s v="action"/>
    <n v="0"/>
    <s v="Personnel"/>
    <s v="Support"/>
    <x v="0"/>
    <s v="&gt;En touchant la cible, guérit l'influence, le charme et la peur, mais inflige un malus de -1 aux jets de résistance de défense pour ces effets durant 3 tours."/>
  </r>
  <r>
    <s v="Painshock"/>
    <x v="1"/>
    <x v="2"/>
    <x v="8"/>
    <n v="6"/>
    <s v="action"/>
    <n v="0"/>
    <s v="Toucher"/>
    <s v="Debuff"/>
    <x v="0"/>
    <s v="&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
  </r>
  <r>
    <s v="Perturbateur"/>
    <x v="1"/>
    <x v="2"/>
    <x v="8"/>
    <n v="4"/>
    <s v="reaction"/>
    <n v="0"/>
    <s v="Toucher"/>
    <s v="Debuff"/>
    <x v="0"/>
    <s v="&gt;Vous pouvez perturber les flux magiques d'un lanceur de sort que vous voyez à 9 cases pour lui imposer un malus de 3 à son lancer de sort en cours."/>
  </r>
  <r>
    <m/>
    <x v="1"/>
    <x v="3"/>
    <x v="8"/>
    <m/>
    <m/>
    <n v="0"/>
    <m/>
    <m/>
    <x v="1"/>
    <m/>
  </r>
  <r>
    <m/>
    <x v="2"/>
    <x v="3"/>
    <x v="0"/>
    <m/>
    <m/>
    <n v="0"/>
    <m/>
    <s v="Buff"/>
    <x v="1"/>
    <m/>
  </r>
  <r>
    <m/>
    <x v="2"/>
    <x v="3"/>
    <x v="0"/>
    <m/>
    <m/>
    <n v="0"/>
    <m/>
    <s v="Dégats"/>
    <x v="1"/>
    <m/>
  </r>
  <r>
    <s v="Tourbillon de braise"/>
    <x v="2"/>
    <x v="1"/>
    <x v="0"/>
    <n v="6"/>
    <s v="action"/>
    <n v="0"/>
    <s v="9 cases"/>
    <s v="Dégats"/>
    <x v="0"/>
    <s v="&gt;Fait apparaitre une tornade de braises ardente de 2 cases de rayon. Chaque tour, vous pouvez la faire bouger de 2 cases pour 1 point d'action. Toute personne commençant son tour dans la tornade subit 2d8 dégâts de feu."/>
  </r>
  <r>
    <m/>
    <x v="2"/>
    <x v="3"/>
    <x v="1"/>
    <m/>
    <m/>
    <n v="0"/>
    <m/>
    <m/>
    <x v="1"/>
    <m/>
  </r>
  <r>
    <m/>
    <x v="2"/>
    <x v="3"/>
    <x v="1"/>
    <m/>
    <m/>
    <n v="0"/>
    <m/>
    <m/>
    <x v="1"/>
    <m/>
  </r>
  <r>
    <s v="Engourdissement"/>
    <x v="2"/>
    <x v="2"/>
    <x v="1"/>
    <n v="5"/>
    <s v="action"/>
    <n v="0"/>
    <s v="6 cases"/>
    <s v="Debuff"/>
    <x v="0"/>
    <s v="&gt;La cible doit faire un [[3. Résistance aux chocs#Le jet de résistance|jet de résistance]] (d10/6 + mod. de [[1. Entrainement#La psyché|psyché]]) aux [[1. Magie#Les sorts instinctif|sorts d'instinct]], divisant sa vitesse par 2 et lui imposant un malus de 3 pour attaquer avec des armes en cas d'échec."/>
  </r>
  <r>
    <m/>
    <x v="2"/>
    <x v="3"/>
    <x v="2"/>
    <m/>
    <m/>
    <n v="0"/>
    <m/>
    <m/>
    <x v="1"/>
    <m/>
  </r>
  <r>
    <m/>
    <x v="2"/>
    <x v="3"/>
    <x v="2"/>
    <m/>
    <m/>
    <n v="0"/>
    <m/>
    <m/>
    <x v="1"/>
    <m/>
  </r>
  <r>
    <s v="Orbe de chaos"/>
    <x v="2"/>
    <x v="0"/>
    <x v="2"/>
    <n v="9"/>
    <s v="action"/>
    <n v="0"/>
    <s v="12 cases"/>
    <s v="Dégats"/>
    <x v="0"/>
    <s v="&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
  </r>
  <r>
    <m/>
    <x v="2"/>
    <x v="3"/>
    <x v="3"/>
    <m/>
    <m/>
    <n v="0"/>
    <m/>
    <m/>
    <x v="1"/>
    <m/>
  </r>
  <r>
    <m/>
    <x v="2"/>
    <x v="3"/>
    <x v="3"/>
    <m/>
    <m/>
    <n v="0"/>
    <m/>
    <m/>
    <x v="1"/>
    <m/>
  </r>
  <r>
    <s v="Protection suprême"/>
    <x v="2"/>
    <x v="1"/>
    <x v="3"/>
    <n v="6"/>
    <s v="action"/>
    <n v="0"/>
    <s v="Personnel"/>
    <s v="Tank"/>
    <x v="0"/>
    <s v="&gt;Vous vous entourez d'une imposante carapace de roche réactive qui absorbe les chocs. Vous gagnez une armure temporaire de 25PV (-5PV) pendant 2 tours. Subir un coup critique détruit l'armure mais annule l'effet critique."/>
  </r>
  <r>
    <m/>
    <x v="2"/>
    <x v="3"/>
    <x v="4"/>
    <m/>
    <m/>
    <n v="0"/>
    <m/>
    <m/>
    <x v="1"/>
    <m/>
  </r>
  <r>
    <s v="Rejet pur"/>
    <x v="2"/>
    <x v="1"/>
    <x v="4"/>
    <m/>
    <s v="action"/>
    <n v="0"/>
    <s v="3 cases"/>
    <s v="Dégats"/>
    <x v="0"/>
    <s v="&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
  </r>
  <r>
    <s v="Disruption"/>
    <x v="2"/>
    <x v="2"/>
    <x v="4"/>
    <n v="5"/>
    <s v="action"/>
    <n v="0"/>
    <s v="6 cases"/>
    <s v="Debuff"/>
    <x v="0"/>
    <s v="&gt; Faites un jet d'attaque avec la [[1. Entrainement#La psyché|psyché]]. Vous imposez un jet de concentration à une cible que vous voyez. La difficulté est de 4d6+4."/>
  </r>
  <r>
    <m/>
    <x v="2"/>
    <x v="3"/>
    <x v="5"/>
    <m/>
    <m/>
    <n v="0"/>
    <m/>
    <m/>
    <x v="1"/>
    <m/>
  </r>
  <r>
    <m/>
    <x v="2"/>
    <x v="3"/>
    <x v="5"/>
    <m/>
    <m/>
    <n v="0"/>
    <m/>
    <m/>
    <x v="1"/>
    <m/>
  </r>
  <r>
    <m/>
    <x v="2"/>
    <x v="3"/>
    <x v="5"/>
    <m/>
    <m/>
    <n v="0"/>
    <m/>
    <m/>
    <x v="1"/>
    <m/>
  </r>
  <r>
    <m/>
    <x v="2"/>
    <x v="3"/>
    <x v="6"/>
    <m/>
    <m/>
    <n v="0"/>
    <m/>
    <m/>
    <x v="1"/>
    <m/>
  </r>
  <r>
    <m/>
    <x v="2"/>
    <x v="3"/>
    <x v="6"/>
    <m/>
    <m/>
    <n v="0"/>
    <m/>
    <m/>
    <x v="1"/>
    <m/>
  </r>
  <r>
    <m/>
    <x v="2"/>
    <x v="3"/>
    <x v="6"/>
    <m/>
    <m/>
    <n v="0"/>
    <m/>
    <m/>
    <x v="1"/>
    <m/>
  </r>
  <r>
    <m/>
    <x v="2"/>
    <x v="3"/>
    <x v="7"/>
    <m/>
    <m/>
    <n v="0"/>
    <m/>
    <m/>
    <x v="1"/>
    <m/>
  </r>
  <r>
    <m/>
    <x v="2"/>
    <x v="3"/>
    <x v="7"/>
    <m/>
    <m/>
    <n v="0"/>
    <m/>
    <m/>
    <x v="1"/>
    <m/>
  </r>
  <r>
    <s v="Anomalie immaculée"/>
    <x v="2"/>
    <x v="1"/>
    <x v="7"/>
    <n v="6"/>
    <s v="action"/>
    <n v="0"/>
    <s v="3 cases"/>
    <s v="Dégats"/>
    <x v="0"/>
    <s v="&gt; Place une anomalie visuelle à 3 cases émettant une [[6. Visibilité et lumière#Lumière intense|lumière vive]] à 9 cases. Lorsqu'un être vivant rentre en contact avec l'anomalie, il absorbe toute l'énergie magique et subit 4d8 points de dégâts magique"/>
  </r>
  <r>
    <m/>
    <x v="2"/>
    <x v="3"/>
    <x v="8"/>
    <m/>
    <m/>
    <n v="0"/>
    <m/>
    <m/>
    <x v="1"/>
    <m/>
  </r>
  <r>
    <m/>
    <x v="2"/>
    <x v="3"/>
    <x v="8"/>
    <m/>
    <m/>
    <n v="0"/>
    <m/>
    <m/>
    <x v="1"/>
    <m/>
  </r>
  <r>
    <m/>
    <x v="2"/>
    <x v="3"/>
    <x v="8"/>
    <m/>
    <m/>
    <n v="0"/>
    <m/>
    <m/>
    <x v="1"/>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FC6617F-C419-4FE7-B60A-622D233F1B6C}" name="Tableau croisé dynamique1"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3:J1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s>
  <rowFields count="1">
    <field x="13"/>
  </rowFields>
  <rowItems count="7">
    <i>
      <x/>
    </i>
    <i>
      <x v="1"/>
    </i>
    <i>
      <x v="2"/>
    </i>
    <i>
      <x v="3"/>
    </i>
    <i>
      <x v="4"/>
    </i>
    <i>
      <x v="5"/>
    </i>
    <i>
      <x v="6"/>
    </i>
  </rowItems>
  <colFields count="1">
    <field x="15"/>
  </colFields>
  <colItems count="3">
    <i>
      <x/>
    </i>
    <i>
      <x v="1"/>
    </i>
    <i>
      <x v="2"/>
    </i>
  </colItems>
  <dataFields count="1">
    <dataField name="Nombre" fld="13" subtotal="count" baseField="0" baseItem="0"/>
  </dataFields>
  <formats count="8">
    <format dxfId="246">
      <pivotArea type="all" dataOnly="0" outline="0" fieldPosition="0"/>
    </format>
    <format dxfId="245">
      <pivotArea outline="0" collapsedLevelsAreSubtotals="1" fieldPosition="0"/>
    </format>
    <format dxfId="244">
      <pivotArea type="origin" dataOnly="0" labelOnly="1" outline="0" fieldPosition="0"/>
    </format>
    <format dxfId="243">
      <pivotArea field="15" type="button" dataOnly="0" labelOnly="1" outline="0" axis="axisCol" fieldPosition="0"/>
    </format>
    <format dxfId="242">
      <pivotArea type="topRight" dataOnly="0" labelOnly="1" outline="0" fieldPosition="0"/>
    </format>
    <format dxfId="241">
      <pivotArea field="13" type="button" dataOnly="0" labelOnly="1" outline="0" axis="axisRow" fieldPosition="0"/>
    </format>
    <format dxfId="240">
      <pivotArea dataOnly="0" labelOnly="1" fieldPosition="0">
        <references count="1">
          <reference field="13" count="0"/>
        </references>
      </pivotArea>
    </format>
    <format dxfId="239">
      <pivotArea dataOnly="0" labelOnly="1" fieldPosition="0">
        <references count="1">
          <reference field="15"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A081A93E-4511-4704-AE91-88657B8D22FB}" name="Tableau croisé dynamique2"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13:J2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showAll="0"/>
    <pivotField axis="axisCol" showAll="0">
      <items count="4">
        <item x="1"/>
        <item x="2"/>
        <item x="0"/>
        <item t="default"/>
      </items>
    </pivotField>
    <pivotField showAll="0"/>
    <pivotField showAll="0"/>
    <pivotField showAll="0"/>
    <pivotField showAll="0"/>
    <pivotField showAll="0"/>
  </pivotFields>
  <rowFields count="1">
    <field x="13"/>
  </rowFields>
  <rowItems count="7">
    <i>
      <x/>
    </i>
    <i>
      <x v="1"/>
    </i>
    <i>
      <x v="2"/>
    </i>
    <i>
      <x v="3"/>
    </i>
    <i>
      <x v="4"/>
    </i>
    <i>
      <x v="5"/>
    </i>
    <i>
      <x v="6"/>
    </i>
  </rowItems>
  <colFields count="1">
    <field x="16"/>
  </colFields>
  <colItems count="3">
    <i>
      <x/>
    </i>
    <i>
      <x v="1"/>
    </i>
    <i>
      <x v="2"/>
    </i>
  </colItems>
  <dataFields count="1">
    <dataField name="Nombre" fld="13" subtotal="count" baseField="0" baseItem="0"/>
  </dataFields>
  <formats count="8">
    <format dxfId="254">
      <pivotArea type="all" dataOnly="0" outline="0" fieldPosition="0"/>
    </format>
    <format dxfId="253">
      <pivotArea outline="0" collapsedLevelsAreSubtotals="1" fieldPosition="0"/>
    </format>
    <format dxfId="252">
      <pivotArea type="origin" dataOnly="0" labelOnly="1" outline="0" fieldPosition="0"/>
    </format>
    <format dxfId="251">
      <pivotArea field="16" type="button" dataOnly="0" labelOnly="1" outline="0" axis="axisCol" fieldPosition="0"/>
    </format>
    <format dxfId="250">
      <pivotArea type="topRight" dataOnly="0" labelOnly="1" outline="0" fieldPosition="0"/>
    </format>
    <format dxfId="249">
      <pivotArea field="13" type="button" dataOnly="0" labelOnly="1" outline="0" axis="axisRow" fieldPosition="0"/>
    </format>
    <format dxfId="248">
      <pivotArea dataOnly="0" labelOnly="1" fieldPosition="0">
        <references count="1">
          <reference field="13" count="0"/>
        </references>
      </pivotArea>
    </format>
    <format dxfId="247">
      <pivotArea dataOnly="0" labelOnly="1" fieldPosition="0">
        <references count="1">
          <reference field="16"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48BF6940-E523-4120-86BF-8B445518EE93}" name="Tableau croisé dynamique4" cacheId="30" applyNumberFormats="0" applyBorderFormats="0" applyFontFormats="0" applyPatternFormats="0" applyAlignmentFormats="0" applyWidthHeightFormats="1" dataCaption="Valeurs" updatedVersion="8" minRefreshableVersion="3" showDrill="0" useAutoFormatting="1" rowGrandTotals="0" itemPrintTitles="1" createdVersion="8" indent="0" showHeaders="0" outline="1" outlineData="1" multipleFieldFilters="0" chartFormat="1">
  <location ref="V4:Z32" firstHeaderRow="1" firstDataRow="2" firstDataCol="1" rowPageCount="1" colPageCount="1"/>
  <pivotFields count="11">
    <pivotField multipleItemSelectionAllowed="1" showAll="0"/>
    <pivotField axis="axisRow" dataField="1" showAll="0">
      <items count="4">
        <item x="0"/>
        <item x="1"/>
        <item x="2"/>
        <item t="default"/>
      </items>
    </pivotField>
    <pivotField axis="axisCol" showAll="0">
      <items count="5">
        <item x="2"/>
        <item x="0"/>
        <item x="1"/>
        <item h="1" x="3"/>
        <item t="default"/>
      </items>
    </pivotField>
    <pivotField axis="axisRow" showAll="0">
      <items count="10">
        <item x="5"/>
        <item x="4"/>
        <item x="0"/>
        <item x="2"/>
        <item x="1"/>
        <item x="7"/>
        <item x="6"/>
        <item x="8"/>
        <item x="3"/>
        <item t="default"/>
      </items>
    </pivotField>
    <pivotField showAll="0"/>
    <pivotField showAll="0"/>
    <pivotField showAll="0"/>
    <pivotField showAll="0"/>
    <pivotField showAll="0"/>
    <pivotField axis="axisPage" multipleItemSelectionAllowed="1" showAll="0">
      <items count="4">
        <item x="2"/>
        <item h="1" x="1"/>
        <item x="0"/>
        <item t="default"/>
      </items>
    </pivotField>
    <pivotField showAll="0"/>
  </pivotFields>
  <rowFields count="2">
    <field x="1"/>
    <field x="3"/>
  </rowFields>
  <rowItems count="27">
    <i>
      <x/>
    </i>
    <i r="1">
      <x/>
    </i>
    <i r="1">
      <x v="1"/>
    </i>
    <i r="1">
      <x v="2"/>
    </i>
    <i r="1">
      <x v="3"/>
    </i>
    <i r="1">
      <x v="4"/>
    </i>
    <i r="1">
      <x v="5"/>
    </i>
    <i r="1">
      <x v="6"/>
    </i>
    <i r="1">
      <x v="7"/>
    </i>
    <i r="1">
      <x v="8"/>
    </i>
    <i>
      <x v="1"/>
    </i>
    <i r="1">
      <x/>
    </i>
    <i r="1">
      <x v="1"/>
    </i>
    <i r="1">
      <x v="2"/>
    </i>
    <i r="1">
      <x v="3"/>
    </i>
    <i r="1">
      <x v="4"/>
    </i>
    <i r="1">
      <x v="5"/>
    </i>
    <i r="1">
      <x v="6"/>
    </i>
    <i r="1">
      <x v="7"/>
    </i>
    <i r="1">
      <x v="8"/>
    </i>
    <i>
      <x v="2"/>
    </i>
    <i r="1">
      <x v="1"/>
    </i>
    <i r="1">
      <x v="2"/>
    </i>
    <i r="1">
      <x v="3"/>
    </i>
    <i r="1">
      <x v="4"/>
    </i>
    <i r="1">
      <x v="5"/>
    </i>
    <i r="1">
      <x v="8"/>
    </i>
  </rowItems>
  <colFields count="1">
    <field x="2"/>
  </colFields>
  <colItems count="4">
    <i>
      <x/>
    </i>
    <i>
      <x v="1"/>
    </i>
    <i>
      <x v="2"/>
    </i>
    <i t="grand">
      <x/>
    </i>
  </colItems>
  <pageFields count="1">
    <pageField fld="9" hier="-1"/>
  </pageFields>
  <dataFields count="1">
    <dataField name="Nombre de Rang" fld="1" subtotal="count" baseField="1" baseItem="1"/>
  </dataFields>
  <formats count="17">
    <format dxfId="271">
      <pivotArea type="all" dataOnly="0" outline="0" fieldPosition="0"/>
    </format>
    <format dxfId="270">
      <pivotArea outline="0" collapsedLevelsAreSubtotals="1" fieldPosition="0"/>
    </format>
    <format dxfId="269">
      <pivotArea type="origin" dataOnly="0" labelOnly="1" outline="0" fieldPosition="0"/>
    </format>
    <format dxfId="268">
      <pivotArea type="topRight" dataOnly="0" labelOnly="1" outline="0" fieldPosition="0"/>
    </format>
    <format dxfId="267">
      <pivotArea dataOnly="0" labelOnly="1" fieldPosition="0">
        <references count="1">
          <reference field="1" count="0"/>
        </references>
      </pivotArea>
    </format>
    <format dxfId="266">
      <pivotArea dataOnly="0" labelOnly="1" fieldPosition="0">
        <references count="2">
          <reference field="1" count="1" selected="0">
            <x v="0"/>
          </reference>
          <reference field="3" count="0"/>
        </references>
      </pivotArea>
    </format>
    <format dxfId="265">
      <pivotArea dataOnly="0" labelOnly="1" fieldPosition="0">
        <references count="2">
          <reference field="1" count="1" selected="0">
            <x v="1"/>
          </reference>
          <reference field="3" count="0"/>
        </references>
      </pivotArea>
    </format>
    <format dxfId="264">
      <pivotArea dataOnly="0" labelOnly="1" fieldPosition="0">
        <references count="2">
          <reference field="1" count="1" selected="0">
            <x v="2"/>
          </reference>
          <reference field="3" count="6">
            <x v="1"/>
            <x v="2"/>
            <x v="3"/>
            <x v="4"/>
            <x v="5"/>
            <x v="8"/>
          </reference>
        </references>
      </pivotArea>
    </format>
    <format dxfId="263">
      <pivotArea type="origin" dataOnly="0" labelOnly="1" outline="0" fieldPosition="0"/>
    </format>
    <format dxfId="262">
      <pivotArea dataOnly="0" labelOnly="1" fieldPosition="0">
        <references count="1">
          <reference field="2" count="0"/>
        </references>
      </pivotArea>
    </format>
    <format dxfId="261">
      <pivotArea dataOnly="0" labelOnly="1" grandCol="1" outline="0" fieldPosition="0"/>
    </format>
    <format dxfId="260">
      <pivotArea dataOnly="0" labelOnly="1" fieldPosition="0">
        <references count="1">
          <reference field="1" count="0"/>
        </references>
      </pivotArea>
    </format>
    <format dxfId="259">
      <pivotArea dataOnly="0" labelOnly="1" fieldPosition="0">
        <references count="2">
          <reference field="1" count="1" selected="0">
            <x v="0"/>
          </reference>
          <reference field="3" count="0"/>
        </references>
      </pivotArea>
    </format>
    <format dxfId="258">
      <pivotArea dataOnly="0" labelOnly="1" fieldPosition="0">
        <references count="2">
          <reference field="1" count="1" selected="0">
            <x v="1"/>
          </reference>
          <reference field="3" count="0"/>
        </references>
      </pivotArea>
    </format>
    <format dxfId="257">
      <pivotArea dataOnly="0" labelOnly="1" fieldPosition="0">
        <references count="2">
          <reference field="1" count="1" selected="0">
            <x v="2"/>
          </reference>
          <reference field="3" count="6">
            <x v="1"/>
            <x v="2"/>
            <x v="3"/>
            <x v="4"/>
            <x v="5"/>
            <x v="8"/>
          </reference>
        </references>
      </pivotArea>
    </format>
    <format dxfId="256">
      <pivotArea dataOnly="0" labelOnly="1" fieldPosition="0">
        <references count="1">
          <reference field="2" count="0"/>
        </references>
      </pivotArea>
    </format>
    <format dxfId="255">
      <pivotArea dataOnly="0" labelOnly="1" grandCol="1" outline="0" fieldPosition="0"/>
    </format>
  </formats>
  <chartFormats count="6">
    <chartFormat chart="0" format="3" series="1">
      <pivotArea type="data" outline="0" fieldPosition="0">
        <references count="1">
          <reference field="2" count="1" selected="0">
            <x v="0"/>
          </reference>
        </references>
      </pivotArea>
    </chartFormat>
    <chartFormat chart="0" format="4" series="1">
      <pivotArea type="data" outline="0" fieldPosition="0">
        <references count="1">
          <reference field="2" count="1" selected="0">
            <x v="1"/>
          </reference>
        </references>
      </pivotArea>
    </chartFormat>
    <chartFormat chart="0" format="5" series="1">
      <pivotArea type="data" outline="0" fieldPosition="0">
        <references count="1">
          <reference field="2" count="1" selected="0">
            <x v="2"/>
          </reference>
        </references>
      </pivotArea>
    </chartFormat>
    <chartFormat chart="0" format="6" series="1">
      <pivotArea type="data" outline="0" fieldPosition="0">
        <references count="2">
          <reference field="4294967294" count="1" selected="0">
            <x v="0"/>
          </reference>
          <reference field="2" count="1" selected="0">
            <x v="0"/>
          </reference>
        </references>
      </pivotArea>
    </chartFormat>
    <chartFormat chart="0" format="7" series="1">
      <pivotArea type="data" outline="0" fieldPosition="0">
        <references count="2">
          <reference field="4294967294" count="1" selected="0">
            <x v="0"/>
          </reference>
          <reference field="2" count="1" selected="0">
            <x v="1"/>
          </reference>
        </references>
      </pivotArea>
    </chartFormat>
    <chartFormat chart="0" format="8"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B8D08482-BBA4-4DA6-BBDA-39B9944FF317}" name="Tableau croisé dynamique3" cacheId="30" applyNumberFormats="0" applyBorderFormats="0" applyFontFormats="0" applyPatternFormats="0" applyAlignmentFormats="0" applyWidthHeightFormats="1" dataCaption="Valeurs" updatedVersion="8" minRefreshableVersion="3" showDrill="0" useAutoFormatting="1" rowGrandTotals="0" colGrandTotals="0" itemPrintTitles="1" mergeItem="1" createdVersion="8" indent="127" showHeaders="0" compact="0" compactData="0" multipleFieldFilters="0" chartFormat="1">
  <location ref="Q23:T27" firstHeaderRow="1" firstDataRow="2" firstDataCol="1" rowPageCount="1" colPageCount="1"/>
  <pivotFields count="11">
    <pivotField compact="0" outline="0" multipleItemSelectionAllowed="1" showAll="0"/>
    <pivotField axis="axisRow" dataField="1" compact="0" outline="0" showAll="0" defaultSubtotal="0">
      <items count="3">
        <item x="0"/>
        <item x="1"/>
        <item x="2"/>
      </items>
    </pivotField>
    <pivotField axis="axisCol" compact="0" outline="0" showAll="0" defaultSubtotal="0">
      <items count="4">
        <item x="2"/>
        <item x="0"/>
        <item x="1"/>
        <item h="1" x="3"/>
      </items>
    </pivotField>
    <pivotField compact="0" outline="0" showAll="0"/>
    <pivotField compact="0" outline="0" showAll="0"/>
    <pivotField compact="0" outline="0" showAll="0"/>
    <pivotField compact="0" outline="0" showAll="0"/>
    <pivotField compact="0" outline="0" showAll="0"/>
    <pivotField compact="0" outline="0" showAll="0"/>
    <pivotField axis="axisPage" compact="0" outline="0" multipleItemSelectionAllowed="1" showAll="0">
      <items count="4">
        <item x="2"/>
        <item h="1" x="1"/>
        <item x="0"/>
        <item t="default"/>
      </items>
    </pivotField>
    <pivotField compact="0" outline="0" showAll="0"/>
  </pivotFields>
  <rowFields count="1">
    <field x="1"/>
  </rowFields>
  <rowItems count="3">
    <i>
      <x/>
    </i>
    <i>
      <x v="1"/>
    </i>
    <i>
      <x v="2"/>
    </i>
  </rowItems>
  <colFields count="1">
    <field x="2"/>
  </colFields>
  <colItems count="3">
    <i>
      <x/>
    </i>
    <i>
      <x v="1"/>
    </i>
    <i>
      <x v="2"/>
    </i>
  </colItems>
  <pageFields count="1">
    <pageField fld="9" hier="-1"/>
  </pageFields>
  <dataFields count="1">
    <dataField name="Nombre" fld="1" subtotal="count" baseField="1" baseItem="0"/>
  </dataFields>
  <formats count="9">
    <format dxfId="280">
      <pivotArea type="all" dataOnly="0" outline="0" fieldPosition="0"/>
    </format>
    <format dxfId="279">
      <pivotArea outline="0" collapsedLevelsAreSubtotals="1" fieldPosition="0"/>
    </format>
    <format dxfId="278">
      <pivotArea type="origin" dataOnly="0" labelOnly="1" outline="0" fieldPosition="0"/>
    </format>
    <format dxfId="277">
      <pivotArea field="2" type="button" dataOnly="0" labelOnly="1" outline="0" axis="axisCol" fieldPosition="0"/>
    </format>
    <format dxfId="276">
      <pivotArea type="topRight" dataOnly="0" labelOnly="1" outline="0" fieldPosition="0"/>
    </format>
    <format dxfId="275">
      <pivotArea field="1" type="button" dataOnly="0" labelOnly="1" outline="0" axis="axisRow" fieldPosition="0"/>
    </format>
    <format dxfId="274">
      <pivotArea dataOnly="0" labelOnly="1" fieldPosition="0">
        <references count="1">
          <reference field="1" count="0"/>
        </references>
      </pivotArea>
    </format>
    <format dxfId="273">
      <pivotArea dataOnly="0" labelOnly="1" fieldPosition="0">
        <references count="1">
          <reference field="2" count="0"/>
        </references>
      </pivotArea>
    </format>
    <format dxfId="272">
      <pivotArea dataOnly="0" labelOnly="1" outline="0" fieldPosition="0">
        <references count="1">
          <reference field="2" count="0"/>
        </references>
      </pivotArea>
    </format>
  </formats>
  <chartFormats count="5">
    <chartFormat chart="0" format="0" series="1">
      <pivotArea type="data" outline="0" fieldPosition="0">
        <references count="1">
          <reference field="2" count="1" selected="0">
            <x v="0"/>
          </reference>
        </references>
      </pivotArea>
    </chartFormat>
    <chartFormat chart="0" format="1" series="1">
      <pivotArea type="data" outline="0" fieldPosition="0">
        <references count="1">
          <reference field="2" count="1" selected="0">
            <x v="1"/>
          </reference>
        </references>
      </pivotArea>
    </chartFormat>
    <chartFormat chart="0" format="2" series="1">
      <pivotArea type="data" outline="0" fieldPosition="0">
        <references count="1">
          <reference field="2" count="1" selected="0">
            <x v="2"/>
          </reference>
        </references>
      </pivotArea>
    </chartFormat>
    <chartFormat chart="0" format="3" series="1">
      <pivotArea type="data" outline="0" fieldPosition="0">
        <references count="2">
          <reference field="4294967294" count="1" selected="0">
            <x v="0"/>
          </reference>
          <reference field="2" count="1" selected="0">
            <x v="1"/>
          </reference>
        </references>
      </pivotArea>
    </chartFormat>
    <chartFormat chart="0" format="5"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A04A0B-99E5-47DA-B000-A1B3A2D4D345}" name="Aspects" displayName="Aspects" ref="A1:W37" totalsRowShown="0">
  <autoFilter ref="A1:W37" xr:uid="{A8A04A0B-99E5-47DA-B000-A1B3A2D4D345}"/>
  <tableColumns count="23">
    <tableColumn id="1" xr3:uid="{10AA4F7D-76DE-41B1-9659-A5044CC3E4A8}" name="Aspect" dataDxfId="238"/>
    <tableColumn id="2" xr3:uid="{A898C7BE-0FDD-402E-8922-35117279222B}" name="Physique" dataDxfId="237"/>
    <tableColumn id="9" xr3:uid="{4FA83F93-4573-46A4-A19C-C295E9738AAD}" name="Phy min" dataDxfId="236"/>
    <tableColumn id="10" xr3:uid="{07F11B45-75A0-4510-8871-7C335ECB6F0B}" name="Phy max" dataDxfId="235"/>
    <tableColumn id="3" xr3:uid="{ECF1AC7E-5D81-4093-B97F-5FBA02904983}" name="Mental" dataDxfId="234"/>
    <tableColumn id="11" xr3:uid="{06B7B755-4C10-4F66-8420-171C42244C9F}" name="Men min" dataDxfId="233"/>
    <tableColumn id="12" xr3:uid="{56B7A928-DE0B-4793-AB8D-3D4BBC8386A7}" name="Men max" dataDxfId="232"/>
    <tableColumn id="4" xr3:uid="{EF26AB02-1B3F-4F8C-8E02-B3283BCEA532}" name="Charactère" dataDxfId="231"/>
    <tableColumn id="13" xr3:uid="{2C1AE653-EA96-4993-9C14-572C1613BF63}" name="Cha min" dataDxfId="230"/>
    <tableColumn id="14" xr3:uid="{8B692861-3522-43B8-B94A-1BE0E42BF8E6}" name="Cha max" dataDxfId="229"/>
    <tableColumn id="15" xr3:uid="{89823BD5-E43B-4180-864D-11077269E43E}" name="Min stats" dataDxfId="228">
      <calculatedColumnFormula>Aspects[[#This Row],[Phy min]]+Aspects[[#This Row],[Men min]]+Aspects[[#This Row],[Cha min]]</calculatedColumnFormula>
    </tableColumn>
    <tableColumn id="18" xr3:uid="{B62942C4-D64A-480D-A6F6-64144A046503}" name="Max stats" dataDxfId="227">
      <calculatedColumnFormula>Aspects[[#This Row],[Phy max]]+Aspects[[#This Row],[Men max]]+Aspects[[#This Row],[Cha max]]</calculatedColumnFormula>
    </tableColumn>
    <tableColumn id="19" xr3:uid="{F9A74C34-ACD5-4533-A2C1-D1E128D13E9B}" name="Range stats" dataDxfId="226">
      <calculatedColumnFormula>MAX(Aspects[[#This Row],[Max stats]]-Aspects[[#This Row],[Min stats]],0)</calculatedColumnFormula>
    </tableColumn>
    <tableColumn id="16" xr3:uid="{643E4DFB-48C1-4622-906D-01CBC394F5EC}" name="Difficulté" dataDxfId="225">
      <calculatedColumnFormula>ROUNDUP(AVERAGE(Aspects[[#This Row],[Phy min]:[Phy max]])*WPHYSIC+AVERAGE(Aspects[[#This Row],[Men min]:[Men max]])*WMENTAL+AVERAGE(Aspects[[#This Row],[Cha min]:[Cha max]])*WCHARAC,0)</calculatedColumnFormula>
    </tableColumn>
    <tableColumn id="17" xr3:uid="{80B84368-B714-432D-BEE5-BA817EC9B9D3}" name="Stat améliorée" dataDxfId="224"/>
    <tableColumn id="5" xr3:uid="{E635B0CD-5AA8-4957-9B73-A5F50895628E}" name="Alignement" dataDxfId="223"/>
    <tableColumn id="6" xr3:uid="{D99196F6-6064-42E9-9F14-08286C5F2CBF}" name="Bonté" dataDxfId="222">
      <calculatedColumnFormula>IFERROR(VLOOKUP(Aspects[[#This Row],[Alignement]],Alignement[],2,FALSE),"")</calculatedColumnFormula>
    </tableColumn>
    <tableColumn id="7" xr3:uid="{A6CC1D48-401A-4CA9-83BC-5484361F3C75}" name="Loyauté" dataDxfId="221">
      <calculatedColumnFormula>IFERROR(VLOOKUP(Aspects[[#This Row],[Alignement]],Alignement[],3,FALSE),"")</calculatedColumnFormula>
    </tableColumn>
    <tableColumn id="8" xr3:uid="{A8B45E07-B4D8-4E13-9202-FDC79F47976E}" name="Magie" dataDxfId="220">
      <calculatedColumnFormula>IF(Aspects[[#This Row],[Men min]]&lt;8,0,1)</calculatedColumnFormula>
    </tableColumn>
    <tableColumn id="22" xr3:uid="{4632161D-13FF-47A8-90DF-3FE97EE6945D}" name="Min" dataDxfId="219">
      <calculatedColumnFormula>IF(OR(AND(Aspects[[#This Row],[Min stats]]&lt;=35,Aspects[[#This Row],[Loyauté]]&lt;&gt;"Loyal"),AND(Aspects[[#This Row],[Min stats]]&lt;=25,Aspects[[#This Row],[Loyauté]]="Loyal")),1,0)</calculatedColumnFormula>
    </tableColumn>
    <tableColumn id="23" xr3:uid="{4D712596-335A-4F29-BEF3-2221C8A7A116}" name="Max" dataDxfId="218">
      <calculatedColumnFormula>IF(Aspects[[#This Row],[Max stats]]&gt;=43,1,0)</calculatedColumnFormula>
    </tableColumn>
    <tableColumn id="21" xr3:uid="{93200CD2-1E11-4826-BAC0-0638EE02B6DE}" name="Range" dataDxfId="217">
      <calculatedColumnFormula>IF(OR(AND(Aspects[[#This Row],[Range stats]]&gt;=15,Aspects[[#This Row],[Range stats]]&lt;=27,Aspects[[#This Row],[Loyauté]]&lt;&gt;"Loyal"),AND(Aspects[[#This Row],[Range stats]]&gt;=27,Aspects[[#This Row],[Range stats]]&lt;=40,Aspects[[#This Row],[Loyauté]]="Loyal")),1,0)</calculatedColumnFormula>
    </tableColumn>
    <tableColumn id="20" xr3:uid="{2FD35BF0-9F45-439F-B8B3-6015C4C8CD4D}" name="Commentaire" dataDxfId="216"/>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8FAE0E-3C8A-48F7-A7E1-FC2E477A7D3C}" name="Sorts" displayName="Sorts" ref="A1:K118" totalsRowShown="0">
  <autoFilter ref="A1:K118" xr:uid="{238FAE0E-3C8A-48F7-A7E1-FC2E477A7D3C}"/>
  <sortState xmlns:xlrd2="http://schemas.microsoft.com/office/spreadsheetml/2017/richdata2" ref="A2:K118">
    <sortCondition ref="B2:B118"/>
    <sortCondition ref="D2:D118" customList="Feu,Glace,Foudre,Terre,Arcane,Air,Nature,Lumière,Psy"/>
  </sortState>
  <tableColumns count="11">
    <tableColumn id="1" xr3:uid="{A2AB743F-9073-4A57-9EDA-5E0E415BD54F}" name="Sort"/>
    <tableColumn id="2" xr3:uid="{BA70F8CE-2D33-4A86-A98E-EBA3598A81C2}" name="Rang" dataDxfId="215"/>
    <tableColumn id="3" xr3:uid="{3579E514-6C5C-4F90-B910-48D47EA58876}" name="Type"/>
    <tableColumn id="4" xr3:uid="{AA9D852E-6073-4283-B04F-301D3A15EB76}" name="Element"/>
    <tableColumn id="5" xr3:uid="{B3C7CCA8-728B-479A-BA99-7E199D13407C}" name="Coût" dataDxfId="214"/>
    <tableColumn id="6" xr3:uid="{D7AF6421-4267-4A3B-AAF6-4E44AA0942F5}" name="Incantation" dataDxfId="213"/>
    <tableColumn id="8" xr3:uid="{4C25CF09-2441-41F5-9404-D55F9B6896D2}" name="Concentration" dataDxfId="212"/>
    <tableColumn id="11" xr3:uid="{DCEE26D2-9066-498C-80CA-5F86E102C71A}" name="Distance" dataDxfId="208"/>
    <tableColumn id="9" xr3:uid="{A4EA893E-3AEE-43AB-818E-E2A8638CC5E0}" name="Categorie" dataDxfId="211"/>
    <tableColumn id="7" xr3:uid="{B712D949-FEF4-4A69-A7FE-B58DE93D47BB}" name="Commentaire" dataDxfId="210"/>
    <tableColumn id="10" xr3:uid="{C6861AF9-B2E3-461A-B83C-4A6BA31725E2}" name="Description" dataDxfId="209"/>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0FEC02-33C3-4EBB-BC23-9B9D8A703CE6}" name="Alignement" displayName="Alignement" ref="A1:C10" totalsRowShown="0">
  <autoFilter ref="A1:C10" xr:uid="{320FEC02-33C3-4EBB-BC23-9B9D8A703CE6}"/>
  <tableColumns count="3">
    <tableColumn id="1" xr3:uid="{02C13EDA-ADD2-419A-BDF3-FF680D48F9A5}" name="Alignement"/>
    <tableColumn id="2" xr3:uid="{9B21C42D-A038-4BE0-9A51-2B2420EB9A46}" name="Bonté"/>
    <tableColumn id="3" xr3:uid="{86626128-844F-4074-A925-E2AF354E9683}" name="Loyauté"/>
  </tableColumns>
  <tableStyleInfo name="Neutre"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pivotTable" Target="../pivotTables/pivotTable4.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1C37-2AEE-4DB8-87EA-2D42CAB55EFD}">
  <dimension ref="B2:AB42"/>
  <sheetViews>
    <sheetView showGridLines="0" tabSelected="1" topLeftCell="J1" workbookViewId="0">
      <selection activeCell="AD25" sqref="AD25"/>
    </sheetView>
  </sheetViews>
  <sheetFormatPr baseColWidth="10" defaultRowHeight="15" x14ac:dyDescent="0.25"/>
  <cols>
    <col min="1" max="2" width="2.85546875" customWidth="1"/>
    <col min="3" max="3" width="11.42578125" customWidth="1"/>
    <col min="4" max="4" width="5.140625" customWidth="1"/>
    <col min="5" max="5" width="10.7109375" customWidth="1"/>
    <col min="6" max="6" width="2.85546875" customWidth="1"/>
    <col min="7" max="7" width="12.42578125" bestFit="1" customWidth="1"/>
    <col min="8" max="8" width="8.28515625" bestFit="1" customWidth="1"/>
    <col min="9" max="9" width="7.28515625" bestFit="1" customWidth="1"/>
    <col min="10" max="10" width="12.5703125" bestFit="1" customWidth="1"/>
    <col min="11" max="11" width="2.85546875" customWidth="1"/>
    <col min="12" max="12" width="20.140625" bestFit="1" customWidth="1"/>
    <col min="13" max="13" width="5" bestFit="1" customWidth="1"/>
    <col min="14" max="16" width="2.85546875" customWidth="1"/>
    <col min="17" max="17" width="13.140625" bestFit="1" customWidth="1"/>
    <col min="18" max="18" width="21.85546875" bestFit="1" customWidth="1"/>
    <col min="19" max="19" width="9.140625" bestFit="1" customWidth="1"/>
    <col min="20" max="20" width="6.42578125" bestFit="1" customWidth="1"/>
    <col min="21" max="21" width="2.85546875" customWidth="1"/>
    <col min="22" max="22" width="15.7109375" bestFit="1" customWidth="1"/>
    <col min="23" max="23" width="21.85546875" bestFit="1" customWidth="1"/>
    <col min="24" max="24" width="9.140625" bestFit="1" customWidth="1"/>
    <col min="25" max="25" width="6.42578125" bestFit="1" customWidth="1"/>
    <col min="26" max="26" width="12.5703125" bestFit="1" customWidth="1"/>
    <col min="27" max="28" width="2.85546875" customWidth="1"/>
    <col min="29" max="29" width="13.140625" bestFit="1" customWidth="1"/>
    <col min="30" max="30" width="15.140625" bestFit="1" customWidth="1"/>
    <col min="31" max="31" width="18.140625" bestFit="1" customWidth="1"/>
    <col min="32" max="32" width="19" bestFit="1" customWidth="1"/>
    <col min="33" max="33" width="21" bestFit="1" customWidth="1"/>
    <col min="34" max="34" width="24" bestFit="1" customWidth="1"/>
    <col min="35" max="35" width="19" bestFit="1" customWidth="1"/>
    <col min="36" max="36" width="21" bestFit="1" customWidth="1"/>
    <col min="37" max="37" width="24" bestFit="1" customWidth="1"/>
    <col min="38" max="38" width="18.140625" bestFit="1" customWidth="1"/>
    <col min="39" max="39" width="20.140625" bestFit="1" customWidth="1"/>
    <col min="40" max="40" width="23.140625" bestFit="1" customWidth="1"/>
  </cols>
  <sheetData>
    <row r="2" spans="2:28" ht="15.75" thickBot="1" x14ac:dyDescent="0.3">
      <c r="B2" s="22"/>
      <c r="C2" s="23"/>
      <c r="D2" s="23"/>
      <c r="E2" s="23"/>
      <c r="F2" s="23"/>
      <c r="G2" s="23"/>
      <c r="H2" s="23"/>
      <c r="I2" s="23"/>
      <c r="J2" s="23"/>
      <c r="K2" s="23"/>
      <c r="L2" s="23"/>
      <c r="M2" s="23"/>
      <c r="N2" s="24"/>
      <c r="P2" s="22"/>
      <c r="Q2" s="23"/>
      <c r="R2" s="23"/>
      <c r="S2" s="23"/>
      <c r="T2" s="23"/>
      <c r="U2" s="23"/>
      <c r="V2" s="56" t="s">
        <v>74</v>
      </c>
      <c r="W2" s="45" t="s">
        <v>212</v>
      </c>
      <c r="X2" s="23"/>
      <c r="Y2" s="23"/>
      <c r="Z2" s="23"/>
      <c r="AA2" s="23"/>
      <c r="AB2" s="25"/>
    </row>
    <row r="3" spans="2:28" x14ac:dyDescent="0.25">
      <c r="B3" s="25"/>
      <c r="C3" s="5" t="s">
        <v>15</v>
      </c>
      <c r="D3" s="31">
        <f>COUNTIF(Aspects[Bonté],"Bon")</f>
        <v>6</v>
      </c>
      <c r="E3" s="36">
        <f>D3/SUM($D$3:$D$5)</f>
        <v>0.16666666666666666</v>
      </c>
      <c r="G3" s="6" t="s">
        <v>69</v>
      </c>
      <c r="H3" s="6" t="s">
        <v>70</v>
      </c>
      <c r="N3" s="26"/>
      <c r="P3" s="25"/>
      <c r="Q3" s="5" t="s">
        <v>203</v>
      </c>
      <c r="R3" s="31">
        <f>COUNTIF(Sorts[Rang],"1")</f>
        <v>48</v>
      </c>
      <c r="S3" s="36">
        <f>R3/SUM(R3:R5)</f>
        <v>0.41025641025641024</v>
      </c>
      <c r="AB3" s="25"/>
    </row>
    <row r="4" spans="2:28" x14ac:dyDescent="0.25">
      <c r="B4" s="25"/>
      <c r="C4" s="3" t="s">
        <v>5</v>
      </c>
      <c r="D4" s="30">
        <f>COUNTIF(Aspects[Bonté],"Neutre")</f>
        <v>15</v>
      </c>
      <c r="E4" s="37">
        <f>D4/SUM($D$3:$D$5)</f>
        <v>0.41666666666666669</v>
      </c>
      <c r="G4" s="6" t="s">
        <v>70</v>
      </c>
      <c r="H4" t="s">
        <v>15</v>
      </c>
      <c r="I4" t="s">
        <v>14</v>
      </c>
      <c r="J4" t="s">
        <v>5</v>
      </c>
      <c r="L4" t="s">
        <v>81</v>
      </c>
      <c r="M4" s="17">
        <v>0.15</v>
      </c>
      <c r="N4" s="26"/>
      <c r="P4" s="25"/>
      <c r="Q4" s="3" t="s">
        <v>204</v>
      </c>
      <c r="R4" s="30">
        <f>COUNTIF(Sorts[Rang],"2")</f>
        <v>42</v>
      </c>
      <c r="S4" s="37">
        <f>R4/SUM(R3:R5)</f>
        <v>0.35897435897435898</v>
      </c>
      <c r="V4" s="42" t="s">
        <v>208</v>
      </c>
      <c r="W4" s="23"/>
      <c r="X4" s="43"/>
      <c r="Y4" s="44"/>
      <c r="Z4" s="45"/>
      <c r="AB4" s="25"/>
    </row>
    <row r="5" spans="2:28" ht="15.75" thickBot="1" x14ac:dyDescent="0.3">
      <c r="B5" s="25"/>
      <c r="C5" s="4" t="s">
        <v>14</v>
      </c>
      <c r="D5" s="32">
        <f>COUNTIF(Aspects[Bonté],"Mauvais")</f>
        <v>15</v>
      </c>
      <c r="E5" s="38">
        <f>D5/SUM($D$3:$D$5)</f>
        <v>0.41666666666666669</v>
      </c>
      <c r="G5" s="7" t="s">
        <v>41</v>
      </c>
      <c r="H5">
        <v>1</v>
      </c>
      <c r="I5">
        <v>1</v>
      </c>
      <c r="J5">
        <v>2</v>
      </c>
      <c r="N5" s="26"/>
      <c r="P5" s="25"/>
      <c r="Q5" s="4" t="s">
        <v>205</v>
      </c>
      <c r="R5" s="32">
        <f>COUNTIF(Sorts[Rang],"3")</f>
        <v>27</v>
      </c>
      <c r="S5" s="38">
        <f>R5/SUM(R3:R5)</f>
        <v>0.23076923076923078</v>
      </c>
      <c r="V5" s="25"/>
      <c r="W5" s="48" t="s">
        <v>129</v>
      </c>
      <c r="X5" s="59" t="s">
        <v>113</v>
      </c>
      <c r="Y5" s="49" t="s">
        <v>120</v>
      </c>
      <c r="Z5" s="60" t="s">
        <v>207</v>
      </c>
      <c r="AB5" s="25"/>
    </row>
    <row r="6" spans="2:28" ht="15.75" thickBot="1" x14ac:dyDescent="0.3">
      <c r="B6" s="25"/>
      <c r="G6" s="7" t="s">
        <v>38</v>
      </c>
      <c r="H6">
        <v>1</v>
      </c>
      <c r="I6">
        <v>1</v>
      </c>
      <c r="J6">
        <v>3</v>
      </c>
      <c r="L6" t="s">
        <v>82</v>
      </c>
      <c r="M6" s="17">
        <v>0.2</v>
      </c>
      <c r="N6" s="26"/>
      <c r="P6" s="25"/>
      <c r="V6" s="57">
        <v>1</v>
      </c>
      <c r="W6" s="68">
        <v>5</v>
      </c>
      <c r="X6" s="69">
        <v>9</v>
      </c>
      <c r="Y6" s="69">
        <v>15</v>
      </c>
      <c r="Z6" s="70">
        <v>29</v>
      </c>
      <c r="AB6" s="25"/>
    </row>
    <row r="7" spans="2:28" ht="15.75" thickBot="1" x14ac:dyDescent="0.3">
      <c r="B7" s="25"/>
      <c r="G7" s="7" t="s">
        <v>42</v>
      </c>
      <c r="H7">
        <v>1</v>
      </c>
      <c r="I7">
        <v>1</v>
      </c>
      <c r="J7">
        <v>3</v>
      </c>
      <c r="N7" s="26"/>
      <c r="P7" s="25"/>
      <c r="Q7" s="5" t="s">
        <v>206</v>
      </c>
      <c r="R7" s="31">
        <f>COUNTIF(Sorts[Type],"Precision")</f>
        <v>22</v>
      </c>
      <c r="S7" s="36">
        <f>R7/SUM(R7:R9)</f>
        <v>0.27500000000000002</v>
      </c>
      <c r="V7" s="58" t="s">
        <v>135</v>
      </c>
      <c r="W7" s="71"/>
      <c r="X7" s="64">
        <v>1</v>
      </c>
      <c r="Y7" s="64">
        <v>2</v>
      </c>
      <c r="Z7" s="65">
        <v>3</v>
      </c>
      <c r="AB7" s="25"/>
    </row>
    <row r="8" spans="2:28" x14ac:dyDescent="0.25">
      <c r="B8" s="25"/>
      <c r="C8" s="5" t="s">
        <v>12</v>
      </c>
      <c r="D8" s="31">
        <f>COUNTIF(Aspects[Loyauté],"Loyal")</f>
        <v>9</v>
      </c>
      <c r="E8" s="36">
        <f>D8/SUM($D$8:$D$10)</f>
        <v>0.25</v>
      </c>
      <c r="G8" s="7" t="s">
        <v>37</v>
      </c>
      <c r="H8">
        <v>1</v>
      </c>
      <c r="I8">
        <v>3</v>
      </c>
      <c r="J8">
        <v>1</v>
      </c>
      <c r="L8" t="s">
        <v>83</v>
      </c>
      <c r="M8" s="17">
        <v>0.3</v>
      </c>
      <c r="N8" s="26"/>
      <c r="P8" s="25"/>
      <c r="Q8" s="3" t="s">
        <v>120</v>
      </c>
      <c r="R8" s="30">
        <f>COUNTIF(Sorts[Type],"Savoir")</f>
        <v>36</v>
      </c>
      <c r="S8" s="37">
        <f>R8/SUM(R7:R9)</f>
        <v>0.45</v>
      </c>
      <c r="V8" s="53" t="s">
        <v>134</v>
      </c>
      <c r="W8" s="71"/>
      <c r="X8" s="64"/>
      <c r="Y8" s="64">
        <v>4</v>
      </c>
      <c r="Z8" s="65">
        <v>4</v>
      </c>
      <c r="AB8" s="25"/>
    </row>
    <row r="9" spans="2:28" ht="15.75" thickBot="1" x14ac:dyDescent="0.3">
      <c r="B9" s="25"/>
      <c r="C9" s="3" t="s">
        <v>5</v>
      </c>
      <c r="D9" s="30">
        <f>COUNTIF(Aspects[Loyauté],"Neutre")</f>
        <v>15</v>
      </c>
      <c r="E9" s="37">
        <f>D9/SUM($D$8:$D$10)</f>
        <v>0.41666666666666669</v>
      </c>
      <c r="G9" s="7" t="s">
        <v>40</v>
      </c>
      <c r="H9">
        <v>1</v>
      </c>
      <c r="I9">
        <v>2</v>
      </c>
      <c r="J9">
        <v>3</v>
      </c>
      <c r="N9" s="26"/>
      <c r="P9" s="25"/>
      <c r="Q9" s="4" t="s">
        <v>129</v>
      </c>
      <c r="R9" s="32">
        <f>COUNTIF(Sorts[Type],"Instinct")</f>
        <v>22</v>
      </c>
      <c r="S9" s="38">
        <f>R9/SUM(R7:R9)</f>
        <v>0.27500000000000002</v>
      </c>
      <c r="V9" s="53" t="s">
        <v>114</v>
      </c>
      <c r="W9" s="71"/>
      <c r="X9" s="64">
        <v>2</v>
      </c>
      <c r="Y9" s="64">
        <v>3</v>
      </c>
      <c r="Z9" s="65">
        <v>5</v>
      </c>
      <c r="AB9" s="25"/>
    </row>
    <row r="10" spans="2:28" ht="15.75" thickBot="1" x14ac:dyDescent="0.3">
      <c r="B10" s="25"/>
      <c r="C10" s="4" t="s">
        <v>13</v>
      </c>
      <c r="D10" s="32">
        <f>COUNTIF(Aspects[Loyauté],"Chaotique")</f>
        <v>12</v>
      </c>
      <c r="E10" s="38">
        <f>D10/SUM($D$8:$D$10)</f>
        <v>0.33333333333333331</v>
      </c>
      <c r="G10" s="7" t="s">
        <v>43</v>
      </c>
      <c r="H10">
        <v>1</v>
      </c>
      <c r="I10">
        <v>4</v>
      </c>
      <c r="J10">
        <v>1</v>
      </c>
      <c r="N10" s="26"/>
      <c r="P10" s="25"/>
      <c r="V10" s="53" t="s">
        <v>132</v>
      </c>
      <c r="W10" s="71"/>
      <c r="X10" s="64">
        <v>2</v>
      </c>
      <c r="Y10" s="64">
        <v>1</v>
      </c>
      <c r="Z10" s="65">
        <v>3</v>
      </c>
      <c r="AB10" s="25"/>
    </row>
    <row r="11" spans="2:28" x14ac:dyDescent="0.25">
      <c r="B11" s="25"/>
      <c r="G11" s="7" t="s">
        <v>39</v>
      </c>
      <c r="I11">
        <v>3</v>
      </c>
      <c r="J11">
        <v>2</v>
      </c>
      <c r="N11" s="26"/>
      <c r="P11" s="25"/>
      <c r="Q11" s="5" t="s">
        <v>114</v>
      </c>
      <c r="R11" s="33">
        <f>COUNTIF(Sorts[Element],"Feu")</f>
        <v>14</v>
      </c>
      <c r="S11" s="39">
        <f>R11/SUM(R11:R19)</f>
        <v>0.11965811965811966</v>
      </c>
      <c r="V11" s="53" t="s">
        <v>131</v>
      </c>
      <c r="W11" s="71">
        <v>1</v>
      </c>
      <c r="X11" s="64">
        <v>1</v>
      </c>
      <c r="Y11" s="64"/>
      <c r="Z11" s="65">
        <v>2</v>
      </c>
      <c r="AB11" s="25"/>
    </row>
    <row r="12" spans="2:28" ht="15.75" thickBot="1" x14ac:dyDescent="0.3">
      <c r="B12" s="25"/>
      <c r="N12" s="26"/>
      <c r="P12" s="25"/>
      <c r="Q12" s="3" t="s">
        <v>131</v>
      </c>
      <c r="R12" s="34">
        <f>COUNTIF(Sorts[Element],"Glace")</f>
        <v>14</v>
      </c>
      <c r="S12" s="40">
        <f>R12/SUM(R11:R19)</f>
        <v>0.11965811965811966</v>
      </c>
      <c r="V12" s="53" t="s">
        <v>136</v>
      </c>
      <c r="W12" s="71">
        <v>1</v>
      </c>
      <c r="X12" s="64"/>
      <c r="Y12" s="64">
        <v>2</v>
      </c>
      <c r="Z12" s="65">
        <v>3</v>
      </c>
      <c r="AB12" s="25"/>
    </row>
    <row r="13" spans="2:28" x14ac:dyDescent="0.25">
      <c r="B13" s="25"/>
      <c r="C13" s="5" t="s">
        <v>37</v>
      </c>
      <c r="D13" s="31">
        <f>COUNTIF(Aspects[Stat améliorée],"Force")</f>
        <v>5</v>
      </c>
      <c r="E13" s="36">
        <f t="shared" ref="E13:E19" si="0">D13/SUM($D$13:$D$19)</f>
        <v>0.1388888888888889</v>
      </c>
      <c r="G13" s="6" t="s">
        <v>69</v>
      </c>
      <c r="H13" s="6" t="s">
        <v>70</v>
      </c>
      <c r="N13" s="26"/>
      <c r="P13" s="25"/>
      <c r="Q13" s="3" t="s">
        <v>132</v>
      </c>
      <c r="R13" s="34">
        <f>COUNTIF(Sorts[Element],"Foudre")</f>
        <v>14</v>
      </c>
      <c r="S13" s="40">
        <f>R13/SUM(R11:R19)</f>
        <v>0.11965811965811966</v>
      </c>
      <c r="V13" s="53" t="s">
        <v>137</v>
      </c>
      <c r="W13" s="71">
        <v>1</v>
      </c>
      <c r="X13" s="64">
        <v>1</v>
      </c>
      <c r="Y13" s="64">
        <v>1</v>
      </c>
      <c r="Z13" s="65">
        <v>3</v>
      </c>
      <c r="AB13" s="25"/>
    </row>
    <row r="14" spans="2:28" x14ac:dyDescent="0.25">
      <c r="B14" s="25"/>
      <c r="C14" s="3" t="s">
        <v>38</v>
      </c>
      <c r="D14" s="30">
        <f>COUNTIF(Aspects[Stat améliorée],"Dextérité")</f>
        <v>5</v>
      </c>
      <c r="E14" s="37">
        <f t="shared" si="0"/>
        <v>0.1388888888888889</v>
      </c>
      <c r="G14" s="6" t="s">
        <v>70</v>
      </c>
      <c r="H14" t="s">
        <v>13</v>
      </c>
      <c r="I14" t="s">
        <v>12</v>
      </c>
      <c r="J14" t="s">
        <v>5</v>
      </c>
      <c r="N14" s="26"/>
      <c r="P14" s="25"/>
      <c r="Q14" s="3" t="s">
        <v>133</v>
      </c>
      <c r="R14" s="34">
        <f>COUNTIF(Sorts[Element],"Terre")</f>
        <v>14</v>
      </c>
      <c r="S14" s="40">
        <f>R14/SUM(R11:R19)</f>
        <v>0.11965811965811966</v>
      </c>
      <c r="V14" s="53" t="s">
        <v>138</v>
      </c>
      <c r="W14" s="71">
        <v>1</v>
      </c>
      <c r="X14" s="64"/>
      <c r="Y14" s="64"/>
      <c r="Z14" s="65">
        <v>1</v>
      </c>
      <c r="AB14" s="25"/>
    </row>
    <row r="15" spans="2:28" x14ac:dyDescent="0.25">
      <c r="B15" s="25"/>
      <c r="C15" s="3" t="s">
        <v>39</v>
      </c>
      <c r="D15" s="30">
        <f>COUNTIF(Aspects[Stat améliorée],"Résilience")</f>
        <v>5</v>
      </c>
      <c r="E15" s="37">
        <f t="shared" si="0"/>
        <v>0.1388888888888889</v>
      </c>
      <c r="G15" s="7" t="s">
        <v>41</v>
      </c>
      <c r="I15">
        <v>1</v>
      </c>
      <c r="J15">
        <v>3</v>
      </c>
      <c r="N15" s="26"/>
      <c r="P15" s="25"/>
      <c r="Q15" s="3" t="s">
        <v>134</v>
      </c>
      <c r="R15" s="34">
        <f>COUNTIF(Sorts[Element],"Arcane")</f>
        <v>15</v>
      </c>
      <c r="S15" s="40">
        <f>R15/SUM(R11:R19)</f>
        <v>0.12820512820512819</v>
      </c>
      <c r="V15" s="54" t="s">
        <v>133</v>
      </c>
      <c r="W15" s="71">
        <v>1</v>
      </c>
      <c r="X15" s="64">
        <v>2</v>
      </c>
      <c r="Y15" s="64">
        <v>2</v>
      </c>
      <c r="Z15" s="65">
        <v>5</v>
      </c>
      <c r="AB15" s="25"/>
    </row>
    <row r="16" spans="2:28" x14ac:dyDescent="0.25">
      <c r="B16" s="25"/>
      <c r="C16" s="3" t="s">
        <v>40</v>
      </c>
      <c r="D16" s="30">
        <f>COUNTIF(Aspects[Stat améliorée],"Intelligence")</f>
        <v>6</v>
      </c>
      <c r="E16" s="37">
        <f t="shared" si="0"/>
        <v>0.16666666666666666</v>
      </c>
      <c r="G16" s="7" t="s">
        <v>38</v>
      </c>
      <c r="H16">
        <v>2</v>
      </c>
      <c r="I16">
        <v>1</v>
      </c>
      <c r="J16">
        <v>2</v>
      </c>
      <c r="N16" s="26"/>
      <c r="P16" s="25"/>
      <c r="Q16" s="3" t="s">
        <v>135</v>
      </c>
      <c r="R16" s="34">
        <f>COUNTIF(Sorts[Element],"Air")</f>
        <v>14</v>
      </c>
      <c r="S16" s="40">
        <f>R16/SUM(R11:R19)</f>
        <v>0.11965811965811966</v>
      </c>
      <c r="V16" s="57">
        <v>2</v>
      </c>
      <c r="W16" s="71">
        <v>6</v>
      </c>
      <c r="X16" s="64">
        <v>7</v>
      </c>
      <c r="Y16" s="64">
        <v>11</v>
      </c>
      <c r="Z16" s="65">
        <v>24</v>
      </c>
      <c r="AB16" s="25"/>
    </row>
    <row r="17" spans="2:28" x14ac:dyDescent="0.25">
      <c r="B17" s="25"/>
      <c r="C17" s="3" t="s">
        <v>41</v>
      </c>
      <c r="D17" s="30">
        <f>COUNTIF(Aspects[Stat améliorée],"Curiosité")</f>
        <v>4</v>
      </c>
      <c r="E17" s="37">
        <f t="shared" si="0"/>
        <v>0.1111111111111111</v>
      </c>
      <c r="G17" s="7" t="s">
        <v>42</v>
      </c>
      <c r="H17">
        <v>1</v>
      </c>
      <c r="I17">
        <v>2</v>
      </c>
      <c r="J17">
        <v>2</v>
      </c>
      <c r="N17" s="26"/>
      <c r="P17" s="25"/>
      <c r="Q17" s="3" t="s">
        <v>137</v>
      </c>
      <c r="R17" s="34">
        <f>COUNTIF(Sorts[Element],"Nature")</f>
        <v>11</v>
      </c>
      <c r="S17" s="40">
        <f>R17/SUM(R11:R19)</f>
        <v>9.4017094017094016E-2</v>
      </c>
      <c r="V17" s="58" t="s">
        <v>135</v>
      </c>
      <c r="W17" s="71">
        <v>1</v>
      </c>
      <c r="X17" s="64">
        <v>2</v>
      </c>
      <c r="Y17" s="64">
        <v>1</v>
      </c>
      <c r="Z17" s="65">
        <v>4</v>
      </c>
      <c r="AB17" s="25"/>
    </row>
    <row r="18" spans="2:28" x14ac:dyDescent="0.25">
      <c r="B18" s="25"/>
      <c r="C18" s="3" t="s">
        <v>42</v>
      </c>
      <c r="D18" s="30">
        <f>COUNTIF(Aspects[Stat améliorée],"Éloquence")</f>
        <v>5</v>
      </c>
      <c r="E18" s="37">
        <f t="shared" si="0"/>
        <v>0.1388888888888889</v>
      </c>
      <c r="G18" s="7" t="s">
        <v>37</v>
      </c>
      <c r="H18">
        <v>2</v>
      </c>
      <c r="I18">
        <v>1</v>
      </c>
      <c r="J18">
        <v>2</v>
      </c>
      <c r="N18" s="26"/>
      <c r="P18" s="25"/>
      <c r="Q18" s="3" t="s">
        <v>136</v>
      </c>
      <c r="R18" s="34">
        <f>COUNTIF(Sorts[Element],"Lumière")</f>
        <v>11</v>
      </c>
      <c r="S18" s="40">
        <f>R18/SUM(R11:R19)</f>
        <v>9.4017094017094016E-2</v>
      </c>
      <c r="V18" s="53" t="s">
        <v>134</v>
      </c>
      <c r="W18" s="71">
        <v>1</v>
      </c>
      <c r="X18" s="64">
        <v>1</v>
      </c>
      <c r="Y18" s="64">
        <v>2</v>
      </c>
      <c r="Z18" s="65">
        <v>4</v>
      </c>
      <c r="AB18" s="25"/>
    </row>
    <row r="19" spans="2:28" ht="15.75" thickBot="1" x14ac:dyDescent="0.3">
      <c r="B19" s="25"/>
      <c r="C19" s="4" t="s">
        <v>43</v>
      </c>
      <c r="D19" s="32">
        <f>COUNTIF(Aspects[Stat améliorée],"Psyché")</f>
        <v>6</v>
      </c>
      <c r="E19" s="38">
        <f t="shared" si="0"/>
        <v>0.16666666666666666</v>
      </c>
      <c r="G19" s="7" t="s">
        <v>40</v>
      </c>
      <c r="H19">
        <v>3</v>
      </c>
      <c r="I19">
        <v>2</v>
      </c>
      <c r="J19">
        <v>1</v>
      </c>
      <c r="N19" s="26"/>
      <c r="P19" s="25"/>
      <c r="Q19" s="4" t="s">
        <v>138</v>
      </c>
      <c r="R19" s="35">
        <f>COUNTIF(Sorts[Element],"Psy")</f>
        <v>10</v>
      </c>
      <c r="S19" s="41">
        <f>R19/SUM(R11:R19)</f>
        <v>8.5470085470085472E-2</v>
      </c>
      <c r="V19" s="53" t="s">
        <v>114</v>
      </c>
      <c r="W19" s="71"/>
      <c r="X19" s="64">
        <v>1</v>
      </c>
      <c r="Y19" s="64">
        <v>1</v>
      </c>
      <c r="Z19" s="65">
        <v>2</v>
      </c>
      <c r="AB19" s="25"/>
    </row>
    <row r="20" spans="2:28" x14ac:dyDescent="0.25">
      <c r="B20" s="25"/>
      <c r="G20" s="7" t="s">
        <v>43</v>
      </c>
      <c r="H20">
        <v>1</v>
      </c>
      <c r="I20">
        <v>1</v>
      </c>
      <c r="J20">
        <v>4</v>
      </c>
      <c r="N20" s="26"/>
      <c r="P20" s="25"/>
      <c r="V20" s="53" t="s">
        <v>132</v>
      </c>
      <c r="W20" s="71">
        <v>1</v>
      </c>
      <c r="X20" s="64">
        <v>1</v>
      </c>
      <c r="Y20" s="64"/>
      <c r="Z20" s="65">
        <v>2</v>
      </c>
      <c r="AB20" s="25"/>
    </row>
    <row r="21" spans="2:28" x14ac:dyDescent="0.25">
      <c r="B21" s="25"/>
      <c r="G21" s="7" t="s">
        <v>39</v>
      </c>
      <c r="H21">
        <v>3</v>
      </c>
      <c r="I21">
        <v>1</v>
      </c>
      <c r="J21">
        <v>1</v>
      </c>
      <c r="N21" s="26"/>
      <c r="P21" s="25"/>
      <c r="Q21" s="56" t="s">
        <v>74</v>
      </c>
      <c r="R21" s="45" t="s">
        <v>212</v>
      </c>
      <c r="V21" s="53" t="s">
        <v>131</v>
      </c>
      <c r="W21" s="71"/>
      <c r="X21" s="64">
        <v>1</v>
      </c>
      <c r="Y21" s="64">
        <v>2</v>
      </c>
      <c r="Z21" s="65">
        <v>3</v>
      </c>
      <c r="AB21" s="25"/>
    </row>
    <row r="22" spans="2:28" x14ac:dyDescent="0.25">
      <c r="B22" s="27"/>
      <c r="C22" s="28"/>
      <c r="D22" s="28"/>
      <c r="E22" s="28"/>
      <c r="F22" s="28"/>
      <c r="G22" s="28"/>
      <c r="H22" s="28"/>
      <c r="I22" s="28"/>
      <c r="J22" s="28"/>
      <c r="K22" s="28"/>
      <c r="L22" s="28"/>
      <c r="M22" s="28"/>
      <c r="N22" s="29"/>
      <c r="P22" s="25"/>
      <c r="V22" s="53" t="s">
        <v>136</v>
      </c>
      <c r="W22" s="71"/>
      <c r="X22" s="64"/>
      <c r="Y22" s="64">
        <v>2</v>
      </c>
      <c r="Z22" s="65">
        <v>2</v>
      </c>
      <c r="AB22" s="25"/>
    </row>
    <row r="23" spans="2:28" x14ac:dyDescent="0.25">
      <c r="P23" s="25"/>
      <c r="Q23" s="47" t="s">
        <v>69</v>
      </c>
      <c r="R23" s="46"/>
      <c r="S23" s="48"/>
      <c r="T23" s="49"/>
      <c r="V23" s="53" t="s">
        <v>137</v>
      </c>
      <c r="W23" s="71">
        <v>1</v>
      </c>
      <c r="X23" s="64"/>
      <c r="Y23" s="64">
        <v>1</v>
      </c>
      <c r="Z23" s="65">
        <v>2</v>
      </c>
      <c r="AB23" s="25"/>
    </row>
    <row r="24" spans="2:28" x14ac:dyDescent="0.25">
      <c r="P24" s="25"/>
      <c r="Q24" s="34"/>
      <c r="R24" s="61" t="s">
        <v>129</v>
      </c>
      <c r="S24" s="62" t="s">
        <v>113</v>
      </c>
      <c r="T24" s="63" t="s">
        <v>120</v>
      </c>
      <c r="V24" s="53" t="s">
        <v>138</v>
      </c>
      <c r="W24" s="71">
        <v>2</v>
      </c>
      <c r="X24" s="64"/>
      <c r="Y24" s="64">
        <v>1</v>
      </c>
      <c r="Z24" s="65">
        <v>3</v>
      </c>
      <c r="AB24" s="25"/>
    </row>
    <row r="25" spans="2:28" x14ac:dyDescent="0.25">
      <c r="P25" s="25"/>
      <c r="Q25" s="50">
        <v>1</v>
      </c>
      <c r="R25" s="68">
        <v>5</v>
      </c>
      <c r="S25" s="69">
        <v>9</v>
      </c>
      <c r="T25" s="70">
        <v>15</v>
      </c>
      <c r="V25" s="54" t="s">
        <v>133</v>
      </c>
      <c r="W25" s="71"/>
      <c r="X25" s="64">
        <v>1</v>
      </c>
      <c r="Y25" s="64">
        <v>1</v>
      </c>
      <c r="Z25" s="65">
        <v>2</v>
      </c>
      <c r="AB25" s="25"/>
    </row>
    <row r="26" spans="2:28" x14ac:dyDescent="0.25">
      <c r="P26" s="25"/>
      <c r="Q26" s="51">
        <v>2</v>
      </c>
      <c r="R26" s="71">
        <v>6</v>
      </c>
      <c r="S26" s="64">
        <v>7</v>
      </c>
      <c r="T26" s="65">
        <v>11</v>
      </c>
      <c r="V26" s="57">
        <v>3</v>
      </c>
      <c r="W26" s="71">
        <v>2</v>
      </c>
      <c r="X26" s="64">
        <v>1</v>
      </c>
      <c r="Y26" s="64">
        <v>4</v>
      </c>
      <c r="Z26" s="65">
        <v>7</v>
      </c>
      <c r="AB26" s="25"/>
    </row>
    <row r="27" spans="2:28" x14ac:dyDescent="0.25">
      <c r="P27" s="25"/>
      <c r="Q27" s="52">
        <v>3</v>
      </c>
      <c r="R27" s="72">
        <v>2</v>
      </c>
      <c r="S27" s="66">
        <v>1</v>
      </c>
      <c r="T27" s="67">
        <v>4</v>
      </c>
      <c r="V27" s="58" t="s">
        <v>134</v>
      </c>
      <c r="W27" s="71">
        <v>1</v>
      </c>
      <c r="X27" s="64"/>
      <c r="Y27" s="64">
        <v>1</v>
      </c>
      <c r="Z27" s="65">
        <v>2</v>
      </c>
      <c r="AB27" s="25"/>
    </row>
    <row r="28" spans="2:28" x14ac:dyDescent="0.25">
      <c r="P28" s="25"/>
      <c r="V28" s="53" t="s">
        <v>114</v>
      </c>
      <c r="W28" s="71"/>
      <c r="X28" s="64"/>
      <c r="Y28" s="64">
        <v>1</v>
      </c>
      <c r="Z28" s="65">
        <v>1</v>
      </c>
      <c r="AB28" s="25"/>
    </row>
    <row r="29" spans="2:28" x14ac:dyDescent="0.25">
      <c r="P29" s="25"/>
      <c r="V29" s="53" t="s">
        <v>132</v>
      </c>
      <c r="W29" s="71"/>
      <c r="X29" s="64">
        <v>1</v>
      </c>
      <c r="Y29" s="64"/>
      <c r="Z29" s="65">
        <v>1</v>
      </c>
      <c r="AB29" s="25"/>
    </row>
    <row r="30" spans="2:28" x14ac:dyDescent="0.25">
      <c r="P30" s="25"/>
      <c r="V30" s="53" t="s">
        <v>131</v>
      </c>
      <c r="W30" s="71">
        <v>1</v>
      </c>
      <c r="X30" s="64"/>
      <c r="Y30" s="64"/>
      <c r="Z30" s="65">
        <v>1</v>
      </c>
      <c r="AB30" s="25"/>
    </row>
    <row r="31" spans="2:28" x14ac:dyDescent="0.25">
      <c r="P31" s="25"/>
      <c r="V31" s="53" t="s">
        <v>136</v>
      </c>
      <c r="W31" s="71"/>
      <c r="X31" s="64"/>
      <c r="Y31" s="64">
        <v>1</v>
      </c>
      <c r="Z31" s="65">
        <v>1</v>
      </c>
      <c r="AB31" s="25"/>
    </row>
    <row r="32" spans="2:28" x14ac:dyDescent="0.25">
      <c r="P32" s="25"/>
      <c r="V32" s="54" t="s">
        <v>133</v>
      </c>
      <c r="W32" s="72"/>
      <c r="X32" s="66"/>
      <c r="Y32" s="66">
        <v>1</v>
      </c>
      <c r="Z32" s="67">
        <v>1</v>
      </c>
      <c r="AB32" s="25"/>
    </row>
    <row r="33" spans="16:28" x14ac:dyDescent="0.25">
      <c r="P33" s="25"/>
      <c r="AB33" s="25"/>
    </row>
    <row r="34" spans="16:28" x14ac:dyDescent="0.25">
      <c r="P34" s="25"/>
      <c r="AB34" s="25"/>
    </row>
    <row r="35" spans="16:28" x14ac:dyDescent="0.25">
      <c r="P35" s="25"/>
      <c r="AB35" s="25"/>
    </row>
    <row r="36" spans="16:28" x14ac:dyDescent="0.25">
      <c r="P36" s="25"/>
      <c r="AB36" s="25"/>
    </row>
    <row r="37" spans="16:28" x14ac:dyDescent="0.25">
      <c r="P37" s="25"/>
      <c r="AB37" s="25"/>
    </row>
    <row r="38" spans="16:28" x14ac:dyDescent="0.25">
      <c r="P38" s="25"/>
      <c r="AB38" s="25"/>
    </row>
    <row r="39" spans="16:28" x14ac:dyDescent="0.25">
      <c r="P39" s="25"/>
      <c r="AB39" s="25"/>
    </row>
    <row r="40" spans="16:28" x14ac:dyDescent="0.25">
      <c r="P40" s="25"/>
      <c r="AB40" s="25"/>
    </row>
    <row r="41" spans="16:28" x14ac:dyDescent="0.25">
      <c r="P41" s="25"/>
      <c r="AB41" s="25"/>
    </row>
    <row r="42" spans="16:28" x14ac:dyDescent="0.25">
      <c r="P42" s="27"/>
      <c r="Q42" s="28"/>
      <c r="R42" s="28"/>
      <c r="S42" s="28"/>
      <c r="T42" s="28"/>
      <c r="U42" s="28"/>
      <c r="V42" s="28"/>
      <c r="W42" s="28"/>
      <c r="X42" s="28"/>
      <c r="Y42" s="28"/>
      <c r="Z42" s="28"/>
      <c r="AA42" s="28"/>
      <c r="AB42" s="2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1D26-0B6C-4A72-A1A8-CF318E525015}">
  <dimension ref="A1:W37"/>
  <sheetViews>
    <sheetView zoomScaleNormal="100" workbookViewId="0">
      <selection activeCell="O9" sqref="O9"/>
    </sheetView>
  </sheetViews>
  <sheetFormatPr baseColWidth="10" defaultRowHeight="15" x14ac:dyDescent="0.25"/>
  <cols>
    <col min="1" max="1" width="15.140625" customWidth="1"/>
    <col min="2" max="2" width="13.7109375" bestFit="1" customWidth="1"/>
    <col min="3" max="3" width="12.7109375" style="12" hidden="1" customWidth="1"/>
    <col min="4" max="4" width="13" style="12" hidden="1" customWidth="1"/>
    <col min="5" max="5" width="12" style="12" bestFit="1" customWidth="1"/>
    <col min="6" max="6" width="13.5703125" style="12" hidden="1" customWidth="1"/>
    <col min="7" max="7" width="13.85546875" style="12" hidden="1" customWidth="1"/>
    <col min="8" max="8" width="15.140625" style="12" bestFit="1" customWidth="1"/>
    <col min="9" max="9" width="12.7109375" style="12" hidden="1" customWidth="1"/>
    <col min="10" max="10" width="13" style="12" hidden="1" customWidth="1"/>
    <col min="11" max="11" width="11.42578125" style="12" hidden="1" customWidth="1"/>
    <col min="12" max="12" width="11.7109375" hidden="1" customWidth="1"/>
    <col min="13" max="13" width="13.28515625" hidden="1" customWidth="1"/>
    <col min="14" max="14" width="11.5703125" customWidth="1"/>
    <col min="15" max="15" width="15.140625" customWidth="1"/>
    <col min="16" max="16" width="18" bestFit="1" customWidth="1"/>
    <col min="17" max="17" width="8.5703125" hidden="1" customWidth="1"/>
    <col min="18" max="18" width="7" hidden="1" customWidth="1"/>
    <col min="19" max="19" width="2.85546875" customWidth="1"/>
    <col min="20" max="20" width="6.85546875" bestFit="1" customWidth="1"/>
    <col min="21" max="21" width="7.140625" bestFit="1" customWidth="1"/>
    <col min="22" max="22" width="8.7109375" bestFit="1" customWidth="1"/>
    <col min="23" max="23" width="45.28515625" bestFit="1" customWidth="1"/>
    <col min="24" max="24" width="11.42578125" customWidth="1"/>
  </cols>
  <sheetData>
    <row r="1" spans="1:23" x14ac:dyDescent="0.25">
      <c r="A1" t="s">
        <v>32</v>
      </c>
      <c r="B1" s="15" t="s">
        <v>33</v>
      </c>
      <c r="C1" s="12" t="s">
        <v>64</v>
      </c>
      <c r="D1" s="12" t="s">
        <v>27</v>
      </c>
      <c r="E1" s="15" t="s">
        <v>34</v>
      </c>
      <c r="F1" s="12" t="s">
        <v>28</v>
      </c>
      <c r="G1" s="12" t="s">
        <v>29</v>
      </c>
      <c r="H1" s="15" t="s">
        <v>35</v>
      </c>
      <c r="I1" s="12" t="s">
        <v>30</v>
      </c>
      <c r="J1" s="12" t="s">
        <v>31</v>
      </c>
      <c r="K1" s="11" t="s">
        <v>65</v>
      </c>
      <c r="L1" s="11" t="s">
        <v>67</v>
      </c>
      <c r="M1" s="11" t="s">
        <v>68</v>
      </c>
      <c r="N1" s="12" t="s">
        <v>77</v>
      </c>
      <c r="O1" t="s">
        <v>75</v>
      </c>
      <c r="P1" t="s">
        <v>3</v>
      </c>
      <c r="Q1" s="11" t="s">
        <v>1</v>
      </c>
      <c r="R1" s="11" t="s">
        <v>2</v>
      </c>
      <c r="S1" t="s">
        <v>36</v>
      </c>
      <c r="T1" t="s">
        <v>72</v>
      </c>
      <c r="U1" t="s">
        <v>73</v>
      </c>
      <c r="V1" t="s">
        <v>71</v>
      </c>
      <c r="W1" t="s">
        <v>74</v>
      </c>
    </row>
    <row r="2" spans="1:23" x14ac:dyDescent="0.25">
      <c r="A2" s="1" t="s">
        <v>18</v>
      </c>
      <c r="B2" s="16" t="str">
        <f>Aspects[[#This Row],[Phy min]] &amp; " - " &amp; Aspects[[#This Row],[Phy max]]</f>
        <v>18 - 25</v>
      </c>
      <c r="C2" s="13">
        <v>18</v>
      </c>
      <c r="D2" s="13">
        <v>25</v>
      </c>
      <c r="E2" s="16" t="str">
        <f>Aspects[[#This Row],[Men min]] &amp; " - " &amp; Aspects[[#This Row],[Men max]]</f>
        <v>8 - 12</v>
      </c>
      <c r="F2" s="13">
        <v>8</v>
      </c>
      <c r="G2" s="13">
        <v>12</v>
      </c>
      <c r="H2" s="16" t="str">
        <f>Aspects[[#This Row],[Cha min]] &amp; " - " &amp; Aspects[[#This Row],[Cha max]]</f>
        <v>8 - 12</v>
      </c>
      <c r="I2" s="13">
        <v>8</v>
      </c>
      <c r="J2" s="13">
        <v>12</v>
      </c>
      <c r="K2" s="14">
        <f>Aspects[[#This Row],[Phy min]]+Aspects[[#This Row],[Men min]]+Aspects[[#This Row],[Cha min]]</f>
        <v>34</v>
      </c>
      <c r="L2" s="14">
        <f>Aspects[[#This Row],[Phy max]]+Aspects[[#This Row],[Men max]]+Aspects[[#This Row],[Cha max]]</f>
        <v>49</v>
      </c>
      <c r="M2" s="14">
        <f>MAX(Aspects[[#This Row],[Max stats]]-Aspects[[#This Row],[Min stats]],0)</f>
        <v>15</v>
      </c>
      <c r="N2" s="12">
        <f>ROUNDUP(AVERAGE(Aspects[[#This Row],[Phy min]:[Phy max]])*WPHYSIC+AVERAGE(Aspects[[#This Row],[Men min]:[Men max]])*WMENTAL+AVERAGE(Aspects[[#This Row],[Cha min]:[Cha max]])*WCHARAC,0)</f>
        <v>9</v>
      </c>
      <c r="O2" s="2" t="s">
        <v>37</v>
      </c>
      <c r="P2" s="1" t="s">
        <v>7</v>
      </c>
      <c r="Q2" s="10" t="str">
        <f>IFERROR(VLOOKUP(Aspects[[#This Row],[Alignement]],Alignement[],2,FALSE),"")</f>
        <v>Bon</v>
      </c>
      <c r="R2" s="10" t="str">
        <f>IFERROR(VLOOKUP(Aspects[[#This Row],[Alignement]],Alignement[],3,FALSE),"")</f>
        <v>Neutre</v>
      </c>
      <c r="S2" s="8">
        <f>IF(Aspects[[#This Row],[Men min]]&lt;8,0,1)</f>
        <v>1</v>
      </c>
      <c r="T2" s="8">
        <f>IF(OR(AND(Aspects[[#This Row],[Min stats]]&lt;=35,Aspects[[#This Row],[Loyauté]]&lt;&gt;"Loyal"),AND(Aspects[[#This Row],[Min stats]]&lt;=25,Aspects[[#This Row],[Loyauté]]="Loyal")),1,0)</f>
        <v>1</v>
      </c>
      <c r="U2" s="8">
        <f>IF(Aspects[[#This Row],[Max stats]]&gt;=43,1,0)</f>
        <v>1</v>
      </c>
      <c r="V2" s="8">
        <f>IF(OR(AND(Aspects[[#This Row],[Range stats]]&gt;=15,Aspects[[#This Row],[Range stats]]&lt;=27,Aspects[[#This Row],[Loyauté]]&lt;&gt;"Loyal"),AND(Aspects[[#This Row],[Range stats]]&gt;=27,Aspects[[#This Row],[Range stats]]&lt;=40,Aspects[[#This Row],[Loyauté]]="Loyal")),1,0)</f>
        <v>1</v>
      </c>
      <c r="W2" s="9"/>
    </row>
    <row r="3" spans="1:23" x14ac:dyDescent="0.25">
      <c r="A3" s="1" t="s">
        <v>24</v>
      </c>
      <c r="B3" s="16" t="str">
        <f>Aspects[[#This Row],[Phy min]] &amp; " - " &amp; Aspects[[#This Row],[Phy max]]</f>
        <v>6 - 18</v>
      </c>
      <c r="C3" s="13">
        <v>6</v>
      </c>
      <c r="D3" s="13">
        <v>18</v>
      </c>
      <c r="E3" s="16" t="str">
        <f>Aspects[[#This Row],[Men min]] &amp; " - " &amp; Aspects[[#This Row],[Men max]]</f>
        <v>15 - 20</v>
      </c>
      <c r="F3" s="13">
        <v>15</v>
      </c>
      <c r="G3" s="13">
        <v>20</v>
      </c>
      <c r="H3" s="16" t="str">
        <f>Aspects[[#This Row],[Cha min]] &amp; " - " &amp; Aspects[[#This Row],[Cha max]]</f>
        <v>10 - 20</v>
      </c>
      <c r="I3" s="13">
        <v>10</v>
      </c>
      <c r="J3" s="13">
        <v>20</v>
      </c>
      <c r="K3" s="14">
        <f>Aspects[[#This Row],[Phy min]]+Aspects[[#This Row],[Men min]]+Aspects[[#This Row],[Cha min]]</f>
        <v>31</v>
      </c>
      <c r="L3" s="14">
        <f>Aspects[[#This Row],[Phy max]]+Aspects[[#This Row],[Men max]]+Aspects[[#This Row],[Cha max]]</f>
        <v>58</v>
      </c>
      <c r="M3" s="14">
        <f>MAX(Aspects[[#This Row],[Max stats]]-Aspects[[#This Row],[Min stats]],0)</f>
        <v>27</v>
      </c>
      <c r="N3" s="12">
        <f>ROUNDUP(AVERAGE(Aspects[[#This Row],[Phy min]:[Phy max]])*WPHYSIC+AVERAGE(Aspects[[#This Row],[Men min]:[Men max]])*WMENTAL+AVERAGE(Aspects[[#This Row],[Cha min]:[Cha max]])*WCHARAC,0)</f>
        <v>10</v>
      </c>
      <c r="O3" s="2" t="s">
        <v>40</v>
      </c>
      <c r="P3" s="1" t="s">
        <v>4</v>
      </c>
      <c r="Q3" s="10" t="str">
        <f>IFERROR(VLOOKUP(Aspects[[#This Row],[Alignement]],Alignement[],2,FALSE),"")</f>
        <v>Neutre</v>
      </c>
      <c r="R3" s="10" t="str">
        <f>IFERROR(VLOOKUP(Aspects[[#This Row],[Alignement]],Alignement[],3,FALSE),"")</f>
        <v>Chaotique</v>
      </c>
      <c r="S3" s="8">
        <f>IF(Aspects[[#This Row],[Men min]]&lt;8,0,1)</f>
        <v>1</v>
      </c>
      <c r="T3" s="8">
        <f>IF(OR(AND(Aspects[[#This Row],[Min stats]]&lt;=35,Aspects[[#This Row],[Loyauté]]&lt;&gt;"Loyal"),AND(Aspects[[#This Row],[Min stats]]&lt;=25,Aspects[[#This Row],[Loyauté]]="Loyal")),1,0)</f>
        <v>1</v>
      </c>
      <c r="U3" s="8">
        <f>IF(Aspects[[#This Row],[Max stats]]&gt;=43,1,0)</f>
        <v>1</v>
      </c>
      <c r="V3" s="8">
        <f>IF(OR(AND(Aspects[[#This Row],[Range stats]]&gt;=15,Aspects[[#This Row],[Range stats]]&lt;=27,Aspects[[#This Row],[Loyauté]]&lt;&gt;"Loyal"),AND(Aspects[[#This Row],[Range stats]]&gt;=27,Aspects[[#This Row],[Range stats]]&lt;=40,Aspects[[#This Row],[Loyauté]]="Loyal")),1,0)</f>
        <v>1</v>
      </c>
      <c r="W3" s="9"/>
    </row>
    <row r="4" spans="1:23" x14ac:dyDescent="0.25">
      <c r="A4" s="1" t="s">
        <v>58</v>
      </c>
      <c r="B4" s="16" t="str">
        <f>Aspects[[#This Row],[Phy min]] &amp; " - " &amp; Aspects[[#This Row],[Phy max]]</f>
        <v>18 - 25</v>
      </c>
      <c r="C4" s="13">
        <v>18</v>
      </c>
      <c r="D4" s="13">
        <v>25</v>
      </c>
      <c r="E4" s="16" t="str">
        <f>Aspects[[#This Row],[Men min]] &amp; " - " &amp; Aspects[[#This Row],[Men max]]</f>
        <v>5 - 12</v>
      </c>
      <c r="F4" s="13">
        <v>5</v>
      </c>
      <c r="G4" s="13">
        <v>12</v>
      </c>
      <c r="H4" s="16" t="str">
        <f>Aspects[[#This Row],[Cha min]] &amp; " - " &amp; Aspects[[#This Row],[Cha max]]</f>
        <v>5 - 15</v>
      </c>
      <c r="I4" s="13">
        <v>5</v>
      </c>
      <c r="J4" s="13">
        <v>15</v>
      </c>
      <c r="K4" s="14">
        <f>Aspects[[#This Row],[Phy min]]+Aspects[[#This Row],[Men min]]+Aspects[[#This Row],[Cha min]]</f>
        <v>28</v>
      </c>
      <c r="L4" s="14">
        <f>Aspects[[#This Row],[Phy max]]+Aspects[[#This Row],[Men max]]+Aspects[[#This Row],[Cha max]]</f>
        <v>52</v>
      </c>
      <c r="M4" s="14">
        <f>MAX(Aspects[[#This Row],[Max stats]]-Aspects[[#This Row],[Min stats]],0)</f>
        <v>24</v>
      </c>
      <c r="N4" s="12">
        <f>ROUNDUP(AVERAGE(Aspects[[#This Row],[Phy min]:[Phy max]])*WPHYSIC+AVERAGE(Aspects[[#This Row],[Men min]:[Men max]])*WMENTAL+AVERAGE(Aspects[[#This Row],[Cha min]:[Cha max]])*WCHARAC,0)</f>
        <v>8</v>
      </c>
      <c r="O4" s="2" t="s">
        <v>39</v>
      </c>
      <c r="P4" s="1" t="s">
        <v>4</v>
      </c>
      <c r="Q4" s="10" t="str">
        <f>IFERROR(VLOOKUP(Aspects[[#This Row],[Alignement]],Alignement[],2,FALSE),"")</f>
        <v>Neutre</v>
      </c>
      <c r="R4" s="10" t="str">
        <f>IFERROR(VLOOKUP(Aspects[[#This Row],[Alignement]],Alignement[],3,FALSE),"")</f>
        <v>Chaotique</v>
      </c>
      <c r="S4" s="8">
        <f>IF(Aspects[[#This Row],[Men min]]&lt;8,0,1)</f>
        <v>0</v>
      </c>
      <c r="T4" s="8">
        <f>IF(OR(AND(Aspects[[#This Row],[Min stats]]&lt;=35,Aspects[[#This Row],[Loyauté]]&lt;&gt;"Loyal"),AND(Aspects[[#This Row],[Min stats]]&lt;=25,Aspects[[#This Row],[Loyauté]]="Loyal")),1,0)</f>
        <v>1</v>
      </c>
      <c r="U4" s="8">
        <f>IF(Aspects[[#This Row],[Max stats]]&gt;=43,1,0)</f>
        <v>1</v>
      </c>
      <c r="V4" s="8">
        <f>IF(OR(AND(Aspects[[#This Row],[Range stats]]&gt;=15,Aspects[[#This Row],[Range stats]]&lt;=27,Aspects[[#This Row],[Loyauté]]&lt;&gt;"Loyal"),AND(Aspects[[#This Row],[Range stats]]&gt;=27,Aspects[[#This Row],[Range stats]]&lt;=40,Aspects[[#This Row],[Loyauté]]="Loyal")),1,0)</f>
        <v>1</v>
      </c>
      <c r="W4" s="9"/>
    </row>
    <row r="5" spans="1:23" x14ac:dyDescent="0.25">
      <c r="A5" s="1" t="s">
        <v>47</v>
      </c>
      <c r="B5" s="16" t="str">
        <f>Aspects[[#This Row],[Phy min]] &amp; " - " &amp; Aspects[[#This Row],[Phy max]]</f>
        <v>6 - 15</v>
      </c>
      <c r="C5" s="13">
        <v>6</v>
      </c>
      <c r="D5" s="13">
        <v>15</v>
      </c>
      <c r="E5" s="16" t="str">
        <f>Aspects[[#This Row],[Men min]] &amp; " - " &amp; Aspects[[#This Row],[Men max]]</f>
        <v>8 - 18</v>
      </c>
      <c r="F5" s="13">
        <v>8</v>
      </c>
      <c r="G5" s="13">
        <v>18</v>
      </c>
      <c r="H5" s="16" t="str">
        <f>Aspects[[#This Row],[Cha min]] &amp; " - " &amp; Aspects[[#This Row],[Cha max]]</f>
        <v>12 - 20</v>
      </c>
      <c r="I5" s="13">
        <v>12</v>
      </c>
      <c r="J5" s="13">
        <v>20</v>
      </c>
      <c r="K5" s="14">
        <f>Aspects[[#This Row],[Phy min]]+Aspects[[#This Row],[Men min]]+Aspects[[#This Row],[Cha min]]</f>
        <v>26</v>
      </c>
      <c r="L5" s="14">
        <f>Aspects[[#This Row],[Phy max]]+Aspects[[#This Row],[Men max]]+Aspects[[#This Row],[Cha max]]</f>
        <v>53</v>
      </c>
      <c r="M5" s="14">
        <f>MAX(Aspects[[#This Row],[Max stats]]-Aspects[[#This Row],[Min stats]],0)</f>
        <v>27</v>
      </c>
      <c r="N5" s="12">
        <f>ROUNDUP(AVERAGE(Aspects[[#This Row],[Phy min]:[Phy max]])*WPHYSIC+AVERAGE(Aspects[[#This Row],[Men min]:[Men max]])*WMENTAL+AVERAGE(Aspects[[#This Row],[Cha min]:[Cha max]])*WCHARAC,0)</f>
        <v>9</v>
      </c>
      <c r="O5" s="2" t="s">
        <v>40</v>
      </c>
      <c r="P5" s="1" t="s">
        <v>0</v>
      </c>
      <c r="Q5" s="10" t="str">
        <f>IFERROR(VLOOKUP(Aspects[[#This Row],[Alignement]],Alignement[],2,FALSE),"")</f>
        <v>Mauvais</v>
      </c>
      <c r="R5" s="10" t="str">
        <f>IFERROR(VLOOKUP(Aspects[[#This Row],[Alignement]],Alignement[],3,FALSE),"")</f>
        <v>Neutre</v>
      </c>
      <c r="S5" s="8">
        <f>IF(Aspects[[#This Row],[Men min]]&lt;8,0,1)</f>
        <v>1</v>
      </c>
      <c r="T5" s="8">
        <f>IF(OR(AND(Aspects[[#This Row],[Min stats]]&lt;=35,Aspects[[#This Row],[Loyauté]]&lt;&gt;"Loyal"),AND(Aspects[[#This Row],[Min stats]]&lt;=25,Aspects[[#This Row],[Loyauté]]="Loyal")),1,0)</f>
        <v>1</v>
      </c>
      <c r="U5" s="8">
        <f>IF(Aspects[[#This Row],[Max stats]]&gt;=43,1,0)</f>
        <v>1</v>
      </c>
      <c r="V5" s="8">
        <f>IF(OR(AND(Aspects[[#This Row],[Range stats]]&gt;=15,Aspects[[#This Row],[Range stats]]&lt;=27,Aspects[[#This Row],[Loyauté]]&lt;&gt;"Loyal"),AND(Aspects[[#This Row],[Range stats]]&gt;=27,Aspects[[#This Row],[Range stats]]&lt;=40,Aspects[[#This Row],[Loyauté]]="Loyal")),1,0)</f>
        <v>1</v>
      </c>
      <c r="W5" s="9"/>
    </row>
    <row r="6" spans="1:23" x14ac:dyDescent="0.25">
      <c r="A6" s="1" t="s">
        <v>57</v>
      </c>
      <c r="B6" s="16" t="str">
        <f>Aspects[[#This Row],[Phy min]] &amp; " - " &amp; Aspects[[#This Row],[Phy max]]</f>
        <v>3 - 13</v>
      </c>
      <c r="C6" s="13">
        <v>3</v>
      </c>
      <c r="D6" s="13">
        <v>13</v>
      </c>
      <c r="E6" s="16" t="str">
        <f>Aspects[[#This Row],[Men min]] &amp; " - " &amp; Aspects[[#This Row],[Men max]]</f>
        <v>10 - 20</v>
      </c>
      <c r="F6" s="13">
        <v>10</v>
      </c>
      <c r="G6" s="13">
        <v>20</v>
      </c>
      <c r="H6" s="16" t="str">
        <f>Aspects[[#This Row],[Cha min]] &amp; " - " &amp; Aspects[[#This Row],[Cha max]]</f>
        <v>12 - 20</v>
      </c>
      <c r="I6" s="13">
        <v>12</v>
      </c>
      <c r="J6" s="13">
        <v>20</v>
      </c>
      <c r="K6" s="14">
        <f>Aspects[[#This Row],[Phy min]]+Aspects[[#This Row],[Men min]]+Aspects[[#This Row],[Cha min]]</f>
        <v>25</v>
      </c>
      <c r="L6" s="14">
        <f>Aspects[[#This Row],[Phy max]]+Aspects[[#This Row],[Men max]]+Aspects[[#This Row],[Cha max]]</f>
        <v>53</v>
      </c>
      <c r="M6" s="14">
        <f>MAX(Aspects[[#This Row],[Max stats]]-Aspects[[#This Row],[Min stats]],0)</f>
        <v>28</v>
      </c>
      <c r="N6" s="12">
        <f>ROUNDUP(AVERAGE(Aspects[[#This Row],[Phy min]:[Phy max]])*WPHYSIC+AVERAGE(Aspects[[#This Row],[Men min]:[Men max]])*WMENTAL+AVERAGE(Aspects[[#This Row],[Cha min]:[Cha max]])*WCHARAC,0)</f>
        <v>9</v>
      </c>
      <c r="O6" s="2" t="s">
        <v>42</v>
      </c>
      <c r="P6" s="1" t="s">
        <v>10</v>
      </c>
      <c r="Q6" s="10" t="str">
        <f>IFERROR(VLOOKUP(Aspects[[#This Row],[Alignement]],Alignement[],2,FALSE),"")</f>
        <v>Bon</v>
      </c>
      <c r="R6" s="10" t="str">
        <f>IFERROR(VLOOKUP(Aspects[[#This Row],[Alignement]],Alignement[],3,FALSE),"")</f>
        <v>Loyal</v>
      </c>
      <c r="S6" s="8">
        <f>IF(Aspects[[#This Row],[Men min]]&lt;8,0,1)</f>
        <v>1</v>
      </c>
      <c r="T6" s="8">
        <f>IF(OR(AND(Aspects[[#This Row],[Min stats]]&lt;=35,Aspects[[#This Row],[Loyauté]]&lt;&gt;"Loyal"),AND(Aspects[[#This Row],[Min stats]]&lt;=25,Aspects[[#This Row],[Loyauté]]="Loyal")),1,0)</f>
        <v>1</v>
      </c>
      <c r="U6" s="8">
        <f>IF(Aspects[[#This Row],[Max stats]]&gt;=43,1,0)</f>
        <v>1</v>
      </c>
      <c r="V6" s="8">
        <f>IF(OR(AND(Aspects[[#This Row],[Range stats]]&gt;=15,Aspects[[#This Row],[Range stats]]&lt;=27,Aspects[[#This Row],[Loyauté]]&lt;&gt;"Loyal"),AND(Aspects[[#This Row],[Range stats]]&gt;=27,Aspects[[#This Row],[Range stats]]&lt;=40,Aspects[[#This Row],[Loyauté]]="Loyal")),1,0)</f>
        <v>1</v>
      </c>
      <c r="W6" s="9"/>
    </row>
    <row r="7" spans="1:23" x14ac:dyDescent="0.25">
      <c r="A7" s="1" t="s">
        <v>25</v>
      </c>
      <c r="B7" s="16" t="str">
        <f>Aspects[[#This Row],[Phy min]] &amp; " - " &amp; Aspects[[#This Row],[Phy max]]</f>
        <v>18 - 25</v>
      </c>
      <c r="C7" s="13">
        <v>18</v>
      </c>
      <c r="D7" s="13">
        <v>25</v>
      </c>
      <c r="E7" s="16" t="str">
        <f>Aspects[[#This Row],[Men min]] &amp; " - " &amp; Aspects[[#This Row],[Men max]]</f>
        <v>3 - 13</v>
      </c>
      <c r="F7" s="13">
        <v>3</v>
      </c>
      <c r="G7" s="13">
        <v>13</v>
      </c>
      <c r="H7" s="16" t="str">
        <f>Aspects[[#This Row],[Cha min]] &amp; " - " &amp; Aspects[[#This Row],[Cha max]]</f>
        <v>8 - 15</v>
      </c>
      <c r="I7" s="13">
        <v>8</v>
      </c>
      <c r="J7" s="13">
        <v>15</v>
      </c>
      <c r="K7" s="14">
        <f>Aspects[[#This Row],[Phy min]]+Aspects[[#This Row],[Men min]]+Aspects[[#This Row],[Cha min]]</f>
        <v>29</v>
      </c>
      <c r="L7" s="14">
        <f>Aspects[[#This Row],[Phy max]]+Aspects[[#This Row],[Men max]]+Aspects[[#This Row],[Cha max]]</f>
        <v>53</v>
      </c>
      <c r="M7" s="14">
        <f>MAX(Aspects[[#This Row],[Max stats]]-Aspects[[#This Row],[Min stats]],0)</f>
        <v>24</v>
      </c>
      <c r="N7" s="12">
        <f>ROUNDUP(AVERAGE(Aspects[[#This Row],[Phy min]:[Phy max]])*WPHYSIC+AVERAGE(Aspects[[#This Row],[Men min]:[Men max]])*WMENTAL+AVERAGE(Aspects[[#This Row],[Cha min]:[Cha max]])*WCHARAC,0)</f>
        <v>9</v>
      </c>
      <c r="O7" s="2" t="s">
        <v>39</v>
      </c>
      <c r="P7" s="1" t="s">
        <v>4</v>
      </c>
      <c r="Q7" s="10" t="str">
        <f>IFERROR(VLOOKUP(Aspects[[#This Row],[Alignement]],Alignement[],2,FALSE),"")</f>
        <v>Neutre</v>
      </c>
      <c r="R7" s="10" t="str">
        <f>IFERROR(VLOOKUP(Aspects[[#This Row],[Alignement]],Alignement[],3,FALSE),"")</f>
        <v>Chaotique</v>
      </c>
      <c r="S7" s="8">
        <f>IF(Aspects[[#This Row],[Men min]]&lt;8,0,1)</f>
        <v>0</v>
      </c>
      <c r="T7" s="8">
        <f>IF(OR(AND(Aspects[[#This Row],[Min stats]]&lt;=35,Aspects[[#This Row],[Loyauté]]&lt;&gt;"Loyal"),AND(Aspects[[#This Row],[Min stats]]&lt;=25,Aspects[[#This Row],[Loyauté]]="Loyal")),1,0)</f>
        <v>1</v>
      </c>
      <c r="U7" s="8">
        <f>IF(Aspects[[#This Row],[Max stats]]&gt;=43,1,0)</f>
        <v>1</v>
      </c>
      <c r="V7" s="8">
        <f>IF(OR(AND(Aspects[[#This Row],[Range stats]]&gt;=15,Aspects[[#This Row],[Range stats]]&lt;=27,Aspects[[#This Row],[Loyauté]]&lt;&gt;"Loyal"),AND(Aspects[[#This Row],[Range stats]]&gt;=27,Aspects[[#This Row],[Range stats]]&lt;=40,Aspects[[#This Row],[Loyauté]]="Loyal")),1,0)</f>
        <v>1</v>
      </c>
      <c r="W7" s="9"/>
    </row>
    <row r="8" spans="1:23" x14ac:dyDescent="0.25">
      <c r="A8" s="1" t="s">
        <v>51</v>
      </c>
      <c r="B8" s="16" t="str">
        <f>Aspects[[#This Row],[Phy min]] &amp; " - " &amp; Aspects[[#This Row],[Phy max]]</f>
        <v>8 - 20</v>
      </c>
      <c r="C8" s="13">
        <v>8</v>
      </c>
      <c r="D8" s="13">
        <v>20</v>
      </c>
      <c r="E8" s="16" t="str">
        <f>Aspects[[#This Row],[Men min]] &amp; " - " &amp; Aspects[[#This Row],[Men max]]</f>
        <v>8 - 20</v>
      </c>
      <c r="F8" s="13">
        <v>8</v>
      </c>
      <c r="G8" s="13">
        <v>20</v>
      </c>
      <c r="H8" s="16" t="str">
        <f>Aspects[[#This Row],[Cha min]] &amp; " - " &amp; Aspects[[#This Row],[Cha max]]</f>
        <v>5 - 18</v>
      </c>
      <c r="I8" s="13">
        <v>5</v>
      </c>
      <c r="J8" s="13">
        <v>18</v>
      </c>
      <c r="K8" s="14">
        <f>Aspects[[#This Row],[Phy min]]+Aspects[[#This Row],[Men min]]+Aspects[[#This Row],[Cha min]]</f>
        <v>21</v>
      </c>
      <c r="L8" s="14">
        <f>Aspects[[#This Row],[Phy max]]+Aspects[[#This Row],[Men max]]+Aspects[[#This Row],[Cha max]]</f>
        <v>58</v>
      </c>
      <c r="M8" s="14">
        <f>MAX(Aspects[[#This Row],[Max stats]]-Aspects[[#This Row],[Min stats]],0)</f>
        <v>37</v>
      </c>
      <c r="N8" s="12">
        <f>ROUNDUP(AVERAGE(Aspects[[#This Row],[Phy min]:[Phy max]])*WPHYSIC+AVERAGE(Aspects[[#This Row],[Men min]:[Men max]])*WMENTAL+AVERAGE(Aspects[[#This Row],[Cha min]:[Cha max]])*WCHARAC,0)</f>
        <v>9</v>
      </c>
      <c r="O8" s="2" t="s">
        <v>40</v>
      </c>
      <c r="P8" s="1" t="s">
        <v>9</v>
      </c>
      <c r="Q8" s="10" t="str">
        <f>IFERROR(VLOOKUP(Aspects[[#This Row],[Alignement]],Alignement[],2,FALSE),"")</f>
        <v>Neutre</v>
      </c>
      <c r="R8" s="10" t="str">
        <f>IFERROR(VLOOKUP(Aspects[[#This Row],[Alignement]],Alignement[],3,FALSE),"")</f>
        <v>Loyal</v>
      </c>
      <c r="S8" s="8">
        <f>IF(Aspects[[#This Row],[Men min]]&lt;8,0,1)</f>
        <v>1</v>
      </c>
      <c r="T8" s="8">
        <f>IF(OR(AND(Aspects[[#This Row],[Min stats]]&lt;=35,Aspects[[#This Row],[Loyauté]]&lt;&gt;"Loyal"),AND(Aspects[[#This Row],[Min stats]]&lt;=25,Aspects[[#This Row],[Loyauté]]="Loyal")),1,0)</f>
        <v>1</v>
      </c>
      <c r="U8" s="8">
        <f>IF(Aspects[[#This Row],[Max stats]]&gt;=43,1,0)</f>
        <v>1</v>
      </c>
      <c r="V8" s="8">
        <f>IF(OR(AND(Aspects[[#This Row],[Range stats]]&gt;=15,Aspects[[#This Row],[Range stats]]&lt;=27,Aspects[[#This Row],[Loyauté]]&lt;&gt;"Loyal"),AND(Aspects[[#This Row],[Range stats]]&gt;=27,Aspects[[#This Row],[Range stats]]&lt;=40,Aspects[[#This Row],[Loyauté]]="Loyal")),1,0)</f>
        <v>1</v>
      </c>
      <c r="W8" s="9"/>
    </row>
    <row r="9" spans="1:23" x14ac:dyDescent="0.25">
      <c r="A9" s="1" t="s">
        <v>78</v>
      </c>
      <c r="B9" s="16" t="str">
        <f>Aspects[[#This Row],[Phy min]] &amp; " - " &amp; Aspects[[#This Row],[Phy max]]</f>
        <v>10 - 18</v>
      </c>
      <c r="C9" s="13">
        <v>10</v>
      </c>
      <c r="D9" s="13">
        <v>18</v>
      </c>
      <c r="E9" s="16" t="str">
        <f>Aspects[[#This Row],[Men min]] &amp; " - " &amp; Aspects[[#This Row],[Men max]]</f>
        <v>0 - 10</v>
      </c>
      <c r="F9" s="13">
        <v>0</v>
      </c>
      <c r="G9" s="13">
        <v>10</v>
      </c>
      <c r="H9" s="16" t="str">
        <f>Aspects[[#This Row],[Cha min]] &amp; " - " &amp; Aspects[[#This Row],[Cha max]]</f>
        <v>15 - 20</v>
      </c>
      <c r="I9" s="13">
        <v>15</v>
      </c>
      <c r="J9" s="13">
        <v>20</v>
      </c>
      <c r="K9" s="14">
        <f>Aspects[[#This Row],[Phy min]]+Aspects[[#This Row],[Men min]]+Aspects[[#This Row],[Cha min]]</f>
        <v>25</v>
      </c>
      <c r="L9" s="14">
        <f>Aspects[[#This Row],[Phy max]]+Aspects[[#This Row],[Men max]]+Aspects[[#This Row],[Cha max]]</f>
        <v>48</v>
      </c>
      <c r="M9" s="14">
        <f>MAX(Aspects[[#This Row],[Max stats]]-Aspects[[#This Row],[Min stats]],0)</f>
        <v>23</v>
      </c>
      <c r="N9" s="12">
        <f>ROUNDUP(AVERAGE(Aspects[[#This Row],[Phy min]:[Phy max]])*WPHYSIC+AVERAGE(Aspects[[#This Row],[Men min]:[Men max]])*WMENTAL+AVERAGE(Aspects[[#This Row],[Cha min]:[Cha max]])*WCHARAC,0)</f>
        <v>9</v>
      </c>
      <c r="O9" s="2" t="s">
        <v>42</v>
      </c>
      <c r="P9" s="1" t="s">
        <v>0</v>
      </c>
      <c r="Q9" s="10" t="str">
        <f>IFERROR(VLOOKUP(Aspects[[#This Row],[Alignement]],Alignement[],2,FALSE),"")</f>
        <v>Mauvais</v>
      </c>
      <c r="R9" s="10" t="str">
        <f>IFERROR(VLOOKUP(Aspects[[#This Row],[Alignement]],Alignement[],3,FALSE),"")</f>
        <v>Neutre</v>
      </c>
      <c r="S9" s="8">
        <f>IF(Aspects[[#This Row],[Men min]]&lt;8,0,1)</f>
        <v>0</v>
      </c>
      <c r="T9" s="8">
        <f>IF(OR(AND(Aspects[[#This Row],[Min stats]]&lt;=35,Aspects[[#This Row],[Loyauté]]&lt;&gt;"Loyal"),AND(Aspects[[#This Row],[Min stats]]&lt;=25,Aspects[[#This Row],[Loyauté]]="Loyal")),1,0)</f>
        <v>1</v>
      </c>
      <c r="U9" s="8">
        <f>IF(Aspects[[#This Row],[Max stats]]&gt;=43,1,0)</f>
        <v>1</v>
      </c>
      <c r="V9" s="8">
        <f>IF(OR(AND(Aspects[[#This Row],[Range stats]]&gt;=15,Aspects[[#This Row],[Range stats]]&lt;=27,Aspects[[#This Row],[Loyauté]]&lt;&gt;"Loyal"),AND(Aspects[[#This Row],[Range stats]]&gt;=27,Aspects[[#This Row],[Range stats]]&lt;=40,Aspects[[#This Row],[Loyauté]]="Loyal")),1,0)</f>
        <v>1</v>
      </c>
      <c r="W9" s="9"/>
    </row>
    <row r="10" spans="1:23" x14ac:dyDescent="0.25">
      <c r="A10" s="1" t="s">
        <v>26</v>
      </c>
      <c r="B10" s="16" t="str">
        <f>Aspects[[#This Row],[Phy min]] &amp; " - " &amp; Aspects[[#This Row],[Phy max]]</f>
        <v>12 - 22</v>
      </c>
      <c r="C10" s="13">
        <v>12</v>
      </c>
      <c r="D10" s="13">
        <v>22</v>
      </c>
      <c r="E10" s="16" t="str">
        <f>Aspects[[#This Row],[Men min]] &amp; " - " &amp; Aspects[[#This Row],[Men max]]</f>
        <v>8 - 15</v>
      </c>
      <c r="F10" s="13">
        <v>8</v>
      </c>
      <c r="G10" s="13">
        <v>15</v>
      </c>
      <c r="H10" s="16" t="str">
        <f>Aspects[[#This Row],[Cha min]] &amp; " - " &amp; Aspects[[#This Row],[Cha max]]</f>
        <v>12 - 20</v>
      </c>
      <c r="I10" s="13">
        <v>12</v>
      </c>
      <c r="J10" s="13">
        <v>20</v>
      </c>
      <c r="K10" s="14">
        <f>Aspects[[#This Row],[Phy min]]+Aspects[[#This Row],[Men min]]+Aspects[[#This Row],[Cha min]]</f>
        <v>32</v>
      </c>
      <c r="L10" s="14">
        <f>Aspects[[#This Row],[Phy max]]+Aspects[[#This Row],[Men max]]+Aspects[[#This Row],[Cha max]]</f>
        <v>57</v>
      </c>
      <c r="M10" s="14">
        <f>MAX(Aspects[[#This Row],[Max stats]]-Aspects[[#This Row],[Min stats]],0)</f>
        <v>25</v>
      </c>
      <c r="N10" s="12">
        <f>ROUNDUP(AVERAGE(Aspects[[#This Row],[Phy min]:[Phy max]])*WPHYSIC+AVERAGE(Aspects[[#This Row],[Men min]:[Men max]])*WMENTAL+AVERAGE(Aspects[[#This Row],[Cha min]:[Cha max]])*WCHARAC,0)</f>
        <v>10</v>
      </c>
      <c r="O10" s="2" t="s">
        <v>38</v>
      </c>
      <c r="P10" s="1" t="s">
        <v>0</v>
      </c>
      <c r="Q10" s="10" t="str">
        <f>IFERROR(VLOOKUP(Aspects[[#This Row],[Alignement]],Alignement[],2,FALSE),"")</f>
        <v>Mauvais</v>
      </c>
      <c r="R10" s="10" t="str">
        <f>IFERROR(VLOOKUP(Aspects[[#This Row],[Alignement]],Alignement[],3,FALSE),"")</f>
        <v>Neutre</v>
      </c>
      <c r="S10" s="8">
        <f>IF(Aspects[[#This Row],[Men min]]&lt;8,0,1)</f>
        <v>1</v>
      </c>
      <c r="T10" s="8">
        <f>IF(OR(AND(Aspects[[#This Row],[Min stats]]&lt;=35,Aspects[[#This Row],[Loyauté]]&lt;&gt;"Loyal"),AND(Aspects[[#This Row],[Min stats]]&lt;=25,Aspects[[#This Row],[Loyauté]]="Loyal")),1,0)</f>
        <v>1</v>
      </c>
      <c r="U10" s="8">
        <f>IF(Aspects[[#This Row],[Max stats]]&gt;=43,1,0)</f>
        <v>1</v>
      </c>
      <c r="V10" s="8">
        <f>IF(OR(AND(Aspects[[#This Row],[Range stats]]&gt;=15,Aspects[[#This Row],[Range stats]]&lt;=27,Aspects[[#This Row],[Loyauté]]&lt;&gt;"Loyal"),AND(Aspects[[#This Row],[Range stats]]&gt;=27,Aspects[[#This Row],[Range stats]]&lt;=40,Aspects[[#This Row],[Loyauté]]="Loyal")),1,0)</f>
        <v>1</v>
      </c>
      <c r="W10" s="9"/>
    </row>
    <row r="11" spans="1:23" x14ac:dyDescent="0.25">
      <c r="A11" s="1" t="s">
        <v>66</v>
      </c>
      <c r="B11" s="16" t="str">
        <f>Aspects[[#This Row],[Phy min]] &amp; " - " &amp; Aspects[[#This Row],[Phy max]]</f>
        <v>12 - 20</v>
      </c>
      <c r="C11" s="13">
        <v>12</v>
      </c>
      <c r="D11" s="13">
        <v>20</v>
      </c>
      <c r="E11" s="16" t="str">
        <f>Aspects[[#This Row],[Men min]] &amp; " - " &amp; Aspects[[#This Row],[Men max]]</f>
        <v>8 - 12</v>
      </c>
      <c r="F11" s="13">
        <v>8</v>
      </c>
      <c r="G11" s="13">
        <v>12</v>
      </c>
      <c r="H11" s="16" t="str">
        <f>Aspects[[#This Row],[Cha min]] &amp; " - " &amp; Aspects[[#This Row],[Cha max]]</f>
        <v>15 - 20</v>
      </c>
      <c r="I11" s="13">
        <v>15</v>
      </c>
      <c r="J11" s="13">
        <v>20</v>
      </c>
      <c r="K11" s="14">
        <f>Aspects[[#This Row],[Phy min]]+Aspects[[#This Row],[Men min]]+Aspects[[#This Row],[Cha min]]</f>
        <v>35</v>
      </c>
      <c r="L11" s="14">
        <f>Aspects[[#This Row],[Phy max]]+Aspects[[#This Row],[Men max]]+Aspects[[#This Row],[Cha max]]</f>
        <v>52</v>
      </c>
      <c r="M11" s="14">
        <f>MAX(Aspects[[#This Row],[Max stats]]-Aspects[[#This Row],[Min stats]],0)</f>
        <v>17</v>
      </c>
      <c r="N11" s="12">
        <f>ROUNDUP(AVERAGE(Aspects[[#This Row],[Phy min]:[Phy max]])*WPHYSIC+AVERAGE(Aspects[[#This Row],[Men min]:[Men max]])*WMENTAL+AVERAGE(Aspects[[#This Row],[Cha min]:[Cha max]])*WCHARAC,0)</f>
        <v>10</v>
      </c>
      <c r="O11" s="2" t="s">
        <v>43</v>
      </c>
      <c r="P11" s="1" t="s">
        <v>7</v>
      </c>
      <c r="Q11" s="10" t="str">
        <f>IFERROR(VLOOKUP(Aspects[[#This Row],[Alignement]],Alignement[],2,FALSE),"")</f>
        <v>Bon</v>
      </c>
      <c r="R11" s="10" t="str">
        <f>IFERROR(VLOOKUP(Aspects[[#This Row],[Alignement]],Alignement[],3,FALSE),"")</f>
        <v>Neutre</v>
      </c>
      <c r="S11" s="8">
        <f>IF(Aspects[[#This Row],[Men min]]&lt;8,0,1)</f>
        <v>1</v>
      </c>
      <c r="T11" s="8">
        <f>IF(OR(AND(Aspects[[#This Row],[Min stats]]&lt;=35,Aspects[[#This Row],[Loyauté]]&lt;&gt;"Loyal"),AND(Aspects[[#This Row],[Min stats]]&lt;=25,Aspects[[#This Row],[Loyauté]]="Loyal")),1,0)</f>
        <v>1</v>
      </c>
      <c r="U11" s="8">
        <f>IF(Aspects[[#This Row],[Max stats]]&gt;=43,1,0)</f>
        <v>1</v>
      </c>
      <c r="V11" s="8">
        <f>IF(OR(AND(Aspects[[#This Row],[Range stats]]&gt;=15,Aspects[[#This Row],[Range stats]]&lt;=27,Aspects[[#This Row],[Loyauté]]&lt;&gt;"Loyal"),AND(Aspects[[#This Row],[Range stats]]&gt;=27,Aspects[[#This Row],[Range stats]]&lt;=40,Aspects[[#This Row],[Loyauté]]="Loyal")),1,0)</f>
        <v>1</v>
      </c>
      <c r="W11" s="9"/>
    </row>
    <row r="12" spans="1:23" x14ac:dyDescent="0.25">
      <c r="A12" s="1" t="s">
        <v>53</v>
      </c>
      <c r="B12" s="16" t="str">
        <f>Aspects[[#This Row],[Phy min]] &amp; " - " &amp; Aspects[[#This Row],[Phy max]]</f>
        <v>12 - 22</v>
      </c>
      <c r="C12" s="13">
        <v>12</v>
      </c>
      <c r="D12" s="13">
        <v>22</v>
      </c>
      <c r="E12" s="16" t="str">
        <f>Aspects[[#This Row],[Men min]] &amp; " - " &amp; Aspects[[#This Row],[Men max]]</f>
        <v>12 - 20</v>
      </c>
      <c r="F12" s="13">
        <v>12</v>
      </c>
      <c r="G12" s="13">
        <v>20</v>
      </c>
      <c r="H12" s="16" t="str">
        <f>Aspects[[#This Row],[Cha min]] &amp; " - " &amp; Aspects[[#This Row],[Cha max]]</f>
        <v>3 - 10</v>
      </c>
      <c r="I12" s="13">
        <v>3</v>
      </c>
      <c r="J12" s="13">
        <v>10</v>
      </c>
      <c r="K12" s="14">
        <f>Aspects[[#This Row],[Phy min]]+Aspects[[#This Row],[Men min]]+Aspects[[#This Row],[Cha min]]</f>
        <v>27</v>
      </c>
      <c r="L12" s="14">
        <f>Aspects[[#This Row],[Phy max]]+Aspects[[#This Row],[Men max]]+Aspects[[#This Row],[Cha max]]</f>
        <v>52</v>
      </c>
      <c r="M12" s="14">
        <f>MAX(Aspects[[#This Row],[Max stats]]-Aspects[[#This Row],[Min stats]],0)</f>
        <v>25</v>
      </c>
      <c r="N12" s="12">
        <f>ROUNDUP(AVERAGE(Aspects[[#This Row],[Phy min]:[Phy max]])*WPHYSIC+AVERAGE(Aspects[[#This Row],[Men min]:[Men max]])*WMENTAL+AVERAGE(Aspects[[#This Row],[Cha min]:[Cha max]])*WCHARAC,0)</f>
        <v>8</v>
      </c>
      <c r="O12" s="2" t="s">
        <v>38</v>
      </c>
      <c r="P12" s="1" t="s">
        <v>5</v>
      </c>
      <c r="Q12" s="10" t="str">
        <f>IFERROR(VLOOKUP(Aspects[[#This Row],[Alignement]],Alignement[],2,FALSE),"")</f>
        <v>Neutre</v>
      </c>
      <c r="R12" s="10" t="str">
        <f>IFERROR(VLOOKUP(Aspects[[#This Row],[Alignement]],Alignement[],3,FALSE),"")</f>
        <v>Neutre</v>
      </c>
      <c r="S12" s="8">
        <f>IF(Aspects[[#This Row],[Men min]]&lt;8,0,1)</f>
        <v>1</v>
      </c>
      <c r="T12" s="8">
        <f>IF(OR(AND(Aspects[[#This Row],[Min stats]]&lt;=35,Aspects[[#This Row],[Loyauté]]&lt;&gt;"Loyal"),AND(Aspects[[#This Row],[Min stats]]&lt;=25,Aspects[[#This Row],[Loyauté]]="Loyal")),1,0)</f>
        <v>1</v>
      </c>
      <c r="U12" s="8">
        <f>IF(Aspects[[#This Row],[Max stats]]&gt;=43,1,0)</f>
        <v>1</v>
      </c>
      <c r="V12" s="8">
        <f>IF(OR(AND(Aspects[[#This Row],[Range stats]]&gt;=15,Aspects[[#This Row],[Range stats]]&lt;=27,Aspects[[#This Row],[Loyauté]]&lt;&gt;"Loyal"),AND(Aspects[[#This Row],[Range stats]]&gt;=27,Aspects[[#This Row],[Range stats]]&lt;=40,Aspects[[#This Row],[Loyauté]]="Loyal")),1,0)</f>
        <v>1</v>
      </c>
      <c r="W12" s="9"/>
    </row>
    <row r="13" spans="1:23" x14ac:dyDescent="0.25">
      <c r="A13" s="1" t="s">
        <v>22</v>
      </c>
      <c r="B13" s="16" t="str">
        <f>Aspects[[#This Row],[Phy min]] &amp; " - " &amp; Aspects[[#This Row],[Phy max]]</f>
        <v>8 - 20</v>
      </c>
      <c r="C13" s="13">
        <v>8</v>
      </c>
      <c r="D13" s="13">
        <v>20</v>
      </c>
      <c r="E13" s="16" t="str">
        <f>Aspects[[#This Row],[Men min]] &amp; " - " &amp; Aspects[[#This Row],[Men max]]</f>
        <v>3 - 15</v>
      </c>
      <c r="F13" s="13">
        <v>3</v>
      </c>
      <c r="G13" s="13">
        <v>15</v>
      </c>
      <c r="H13" s="16" t="str">
        <f>Aspects[[#This Row],[Cha min]] &amp; " - " &amp; Aspects[[#This Row],[Cha max]]</f>
        <v>10 - 20</v>
      </c>
      <c r="I13" s="13">
        <v>10</v>
      </c>
      <c r="J13" s="13">
        <v>20</v>
      </c>
      <c r="K13" s="14">
        <f>Aspects[[#This Row],[Phy min]]+Aspects[[#This Row],[Men min]]+Aspects[[#This Row],[Cha min]]</f>
        <v>21</v>
      </c>
      <c r="L13" s="14">
        <f>Aspects[[#This Row],[Phy max]]+Aspects[[#This Row],[Men max]]+Aspects[[#This Row],[Cha max]]</f>
        <v>55</v>
      </c>
      <c r="M13" s="14">
        <f>MAX(Aspects[[#This Row],[Max stats]]-Aspects[[#This Row],[Min stats]],0)</f>
        <v>34</v>
      </c>
      <c r="N13" s="12">
        <f>ROUNDUP(AVERAGE(Aspects[[#This Row],[Phy min]:[Phy max]])*WPHYSIC+AVERAGE(Aspects[[#This Row],[Men min]:[Men max]])*WMENTAL+AVERAGE(Aspects[[#This Row],[Cha min]:[Cha max]])*WCHARAC,0)</f>
        <v>9</v>
      </c>
      <c r="O13" s="2" t="s">
        <v>43</v>
      </c>
      <c r="P13" s="1" t="s">
        <v>11</v>
      </c>
      <c r="Q13" s="10" t="str">
        <f>IFERROR(VLOOKUP(Aspects[[#This Row],[Alignement]],Alignement[],2,FALSE),"")</f>
        <v>Mauvais</v>
      </c>
      <c r="R13" s="10" t="str">
        <f>IFERROR(VLOOKUP(Aspects[[#This Row],[Alignement]],Alignement[],3,FALSE),"")</f>
        <v>Loyal</v>
      </c>
      <c r="S13" s="8">
        <f>IF(Aspects[[#This Row],[Men min]]&lt;8,0,1)</f>
        <v>0</v>
      </c>
      <c r="T13" s="8">
        <f>IF(OR(AND(Aspects[[#This Row],[Min stats]]&lt;=35,Aspects[[#This Row],[Loyauté]]&lt;&gt;"Loyal"),AND(Aspects[[#This Row],[Min stats]]&lt;=25,Aspects[[#This Row],[Loyauté]]="Loyal")),1,0)</f>
        <v>1</v>
      </c>
      <c r="U13" s="8">
        <f>IF(Aspects[[#This Row],[Max stats]]&gt;=43,1,0)</f>
        <v>1</v>
      </c>
      <c r="V13" s="8">
        <f>IF(OR(AND(Aspects[[#This Row],[Range stats]]&gt;=15,Aspects[[#This Row],[Range stats]]&lt;=27,Aspects[[#This Row],[Loyauté]]&lt;&gt;"Loyal"),AND(Aspects[[#This Row],[Range stats]]&gt;=27,Aspects[[#This Row],[Range stats]]&lt;=40,Aspects[[#This Row],[Loyauté]]="Loyal")),1,0)</f>
        <v>1</v>
      </c>
      <c r="W13" s="9"/>
    </row>
    <row r="14" spans="1:23" x14ac:dyDescent="0.25">
      <c r="A14" s="1" t="s">
        <v>17</v>
      </c>
      <c r="B14" s="16" t="str">
        <f>Aspects[[#This Row],[Phy min]] &amp; " - " &amp; Aspects[[#This Row],[Phy max]]</f>
        <v>10 - 18</v>
      </c>
      <c r="C14" s="13">
        <v>10</v>
      </c>
      <c r="D14" s="13">
        <v>18</v>
      </c>
      <c r="E14" s="16" t="str">
        <f>Aspects[[#This Row],[Men min]] &amp; " - " &amp; Aspects[[#This Row],[Men max]]</f>
        <v>10 - 18</v>
      </c>
      <c r="F14" s="13">
        <v>10</v>
      </c>
      <c r="G14" s="13">
        <v>18</v>
      </c>
      <c r="H14" s="16" t="str">
        <f>Aspects[[#This Row],[Cha min]] &amp; " - " &amp; Aspects[[#This Row],[Cha max]]</f>
        <v>12 - 20</v>
      </c>
      <c r="I14" s="13">
        <v>12</v>
      </c>
      <c r="J14" s="13">
        <v>20</v>
      </c>
      <c r="K14" s="14">
        <f>Aspects[[#This Row],[Phy min]]+Aspects[[#This Row],[Men min]]+Aspects[[#This Row],[Cha min]]</f>
        <v>32</v>
      </c>
      <c r="L14" s="14">
        <f>Aspects[[#This Row],[Phy max]]+Aspects[[#This Row],[Men max]]+Aspects[[#This Row],[Cha max]]</f>
        <v>56</v>
      </c>
      <c r="M14" s="14">
        <f>MAX(Aspects[[#This Row],[Max stats]]-Aspects[[#This Row],[Min stats]],0)</f>
        <v>24</v>
      </c>
      <c r="N14" s="12">
        <f>ROUNDUP(AVERAGE(Aspects[[#This Row],[Phy min]:[Phy max]])*WPHYSIC+AVERAGE(Aspects[[#This Row],[Men min]:[Men max]])*WMENTAL+AVERAGE(Aspects[[#This Row],[Cha min]:[Cha max]])*WCHARAC,0)</f>
        <v>10</v>
      </c>
      <c r="O14" s="2" t="s">
        <v>42</v>
      </c>
      <c r="P14" s="1" t="s">
        <v>5</v>
      </c>
      <c r="Q14" s="10" t="str">
        <f>IFERROR(VLOOKUP(Aspects[[#This Row],[Alignement]],Alignement[],2,FALSE),"")</f>
        <v>Neutre</v>
      </c>
      <c r="R14" s="10" t="str">
        <f>IFERROR(VLOOKUP(Aspects[[#This Row],[Alignement]],Alignement[],3,FALSE),"")</f>
        <v>Neutre</v>
      </c>
      <c r="S14" s="8">
        <f>IF(Aspects[[#This Row],[Men min]]&lt;8,0,1)</f>
        <v>1</v>
      </c>
      <c r="T14" s="8">
        <f>IF(OR(AND(Aspects[[#This Row],[Min stats]]&lt;=35,Aspects[[#This Row],[Loyauté]]&lt;&gt;"Loyal"),AND(Aspects[[#This Row],[Min stats]]&lt;=25,Aspects[[#This Row],[Loyauté]]="Loyal")),1,0)</f>
        <v>1</v>
      </c>
      <c r="U14" s="8">
        <f>IF(Aspects[[#This Row],[Max stats]]&gt;=43,1,0)</f>
        <v>1</v>
      </c>
      <c r="V14" s="8">
        <f>IF(OR(AND(Aspects[[#This Row],[Range stats]]&gt;=15,Aspects[[#This Row],[Range stats]]&lt;=27,Aspects[[#This Row],[Loyauté]]&lt;&gt;"Loyal"),AND(Aspects[[#This Row],[Range stats]]&gt;=27,Aspects[[#This Row],[Range stats]]&lt;=40,Aspects[[#This Row],[Loyauté]]="Loyal")),1,0)</f>
        <v>1</v>
      </c>
      <c r="W14" s="9"/>
    </row>
    <row r="15" spans="1:23" x14ac:dyDescent="0.25">
      <c r="A15" s="1" t="s">
        <v>62</v>
      </c>
      <c r="B15" s="16" t="str">
        <f>Aspects[[#This Row],[Phy min]] &amp; " - " &amp; Aspects[[#This Row],[Phy max]]</f>
        <v>18 - 28</v>
      </c>
      <c r="C15" s="13">
        <v>18</v>
      </c>
      <c r="D15" s="13">
        <v>28</v>
      </c>
      <c r="E15" s="16" t="str">
        <f>Aspects[[#This Row],[Men min]] &amp; " - " &amp; Aspects[[#This Row],[Men max]]</f>
        <v>3 - 10</v>
      </c>
      <c r="F15" s="13">
        <v>3</v>
      </c>
      <c r="G15" s="13">
        <v>10</v>
      </c>
      <c r="H15" s="16" t="str">
        <f>Aspects[[#This Row],[Cha min]] &amp; " - " &amp; Aspects[[#This Row],[Cha max]]</f>
        <v>12 - 20</v>
      </c>
      <c r="I15" s="13">
        <v>12</v>
      </c>
      <c r="J15" s="13">
        <v>20</v>
      </c>
      <c r="K15" s="14">
        <f>Aspects[[#This Row],[Phy min]]+Aspects[[#This Row],[Men min]]+Aspects[[#This Row],[Cha min]]</f>
        <v>33</v>
      </c>
      <c r="L15" s="14">
        <f>Aspects[[#This Row],[Phy max]]+Aspects[[#This Row],[Men max]]+Aspects[[#This Row],[Cha max]]</f>
        <v>58</v>
      </c>
      <c r="M15" s="14">
        <f>MAX(Aspects[[#This Row],[Max stats]]-Aspects[[#This Row],[Min stats]],0)</f>
        <v>25</v>
      </c>
      <c r="N15" s="12">
        <f>ROUNDUP(AVERAGE(Aspects[[#This Row],[Phy min]:[Phy max]])*WPHYSIC+AVERAGE(Aspects[[#This Row],[Men min]:[Men max]])*WMENTAL+AVERAGE(Aspects[[#This Row],[Cha min]:[Cha max]])*WCHARAC,0)</f>
        <v>10</v>
      </c>
      <c r="O15" s="2" t="s">
        <v>39</v>
      </c>
      <c r="P15" s="1" t="s">
        <v>0</v>
      </c>
      <c r="Q15" s="10" t="str">
        <f>IFERROR(VLOOKUP(Aspects[[#This Row],[Alignement]],Alignement[],2,FALSE),"")</f>
        <v>Mauvais</v>
      </c>
      <c r="R15" s="10" t="str">
        <f>IFERROR(VLOOKUP(Aspects[[#This Row],[Alignement]],Alignement[],3,FALSE),"")</f>
        <v>Neutre</v>
      </c>
      <c r="S15" s="8">
        <f>IF(Aspects[[#This Row],[Men min]]&lt;8,0,1)</f>
        <v>0</v>
      </c>
      <c r="T15" s="8">
        <f>IF(OR(AND(Aspects[[#This Row],[Min stats]]&lt;=35,Aspects[[#This Row],[Loyauté]]&lt;&gt;"Loyal"),AND(Aspects[[#This Row],[Min stats]]&lt;=25,Aspects[[#This Row],[Loyauté]]="Loyal")),1,0)</f>
        <v>1</v>
      </c>
      <c r="U15" s="8">
        <f>IF(Aspects[[#This Row],[Max stats]]&gt;=43,1,0)</f>
        <v>1</v>
      </c>
      <c r="V15" s="8">
        <f>IF(OR(AND(Aspects[[#This Row],[Range stats]]&gt;=15,Aspects[[#This Row],[Range stats]]&lt;=27,Aspects[[#This Row],[Loyauté]]&lt;&gt;"Loyal"),AND(Aspects[[#This Row],[Range stats]]&gt;=27,Aspects[[#This Row],[Range stats]]&lt;=40,Aspects[[#This Row],[Loyauté]]="Loyal")),1,0)</f>
        <v>1</v>
      </c>
      <c r="W15" s="9"/>
    </row>
    <row r="16" spans="1:23" x14ac:dyDescent="0.25">
      <c r="A16" s="1" t="s">
        <v>80</v>
      </c>
      <c r="B16" s="16" t="str">
        <f>Aspects[[#This Row],[Phy min]] &amp; " - " &amp; Aspects[[#This Row],[Phy max]]</f>
        <v>3 - 18</v>
      </c>
      <c r="C16" s="13">
        <v>3</v>
      </c>
      <c r="D16" s="13">
        <v>18</v>
      </c>
      <c r="E16" s="16" t="str">
        <f>Aspects[[#This Row],[Men min]] &amp; " - " &amp; Aspects[[#This Row],[Men max]]</f>
        <v>12 - 20</v>
      </c>
      <c r="F16" s="13">
        <v>12</v>
      </c>
      <c r="G16" s="13">
        <v>20</v>
      </c>
      <c r="H16" s="16" t="str">
        <f>Aspects[[#This Row],[Cha min]] &amp; " - " &amp; Aspects[[#This Row],[Cha max]]</f>
        <v>10 - 20</v>
      </c>
      <c r="I16" s="13">
        <v>10</v>
      </c>
      <c r="J16" s="13">
        <v>20</v>
      </c>
      <c r="K16" s="14">
        <f>Aspects[[#This Row],[Phy min]]+Aspects[[#This Row],[Men min]]+Aspects[[#This Row],[Cha min]]</f>
        <v>25</v>
      </c>
      <c r="L16" s="14">
        <f>Aspects[[#This Row],[Phy max]]+Aspects[[#This Row],[Men max]]+Aspects[[#This Row],[Cha max]]</f>
        <v>58</v>
      </c>
      <c r="M16" s="14">
        <f>MAX(Aspects[[#This Row],[Max stats]]-Aspects[[#This Row],[Min stats]],0)</f>
        <v>33</v>
      </c>
      <c r="N16" s="12">
        <f>ROUNDUP(AVERAGE(Aspects[[#This Row],[Phy min]:[Phy max]])*WPHYSIC+AVERAGE(Aspects[[#This Row],[Men min]:[Men max]])*WMENTAL+AVERAGE(Aspects[[#This Row],[Cha min]:[Cha max]])*WCHARAC,0)</f>
        <v>10</v>
      </c>
      <c r="O16" s="2" t="s">
        <v>41</v>
      </c>
      <c r="P16" s="1" t="s">
        <v>10</v>
      </c>
      <c r="Q16" s="10" t="str">
        <f>IFERROR(VLOOKUP(Aspects[[#This Row],[Alignement]],Alignement[],2,FALSE),"")</f>
        <v>Bon</v>
      </c>
      <c r="R16" s="10" t="str">
        <f>IFERROR(VLOOKUP(Aspects[[#This Row],[Alignement]],Alignement[],3,FALSE),"")</f>
        <v>Loyal</v>
      </c>
      <c r="S16" s="8">
        <f>IF(Aspects[[#This Row],[Men min]]&lt;8,0,1)</f>
        <v>1</v>
      </c>
      <c r="T16" s="8">
        <f>IF(OR(AND(Aspects[[#This Row],[Min stats]]&lt;=35,Aspects[[#This Row],[Loyauté]]&lt;&gt;"Loyal"),AND(Aspects[[#This Row],[Min stats]]&lt;=25,Aspects[[#This Row],[Loyauté]]="Loyal")),1,0)</f>
        <v>1</v>
      </c>
      <c r="U16" s="8">
        <f>IF(Aspects[[#This Row],[Max stats]]&gt;=43,1,0)</f>
        <v>1</v>
      </c>
      <c r="V16" s="8">
        <f>IF(OR(AND(Aspects[[#This Row],[Range stats]]&gt;=15,Aspects[[#This Row],[Range stats]]&lt;=27,Aspects[[#This Row],[Loyauté]]&lt;&gt;"Loyal"),AND(Aspects[[#This Row],[Range stats]]&gt;=27,Aspects[[#This Row],[Range stats]]&lt;=40,Aspects[[#This Row],[Loyauté]]="Loyal")),1,0)</f>
        <v>1</v>
      </c>
      <c r="W16" s="9"/>
    </row>
    <row r="17" spans="1:23" x14ac:dyDescent="0.25">
      <c r="A17" s="1" t="s">
        <v>23</v>
      </c>
      <c r="B17" s="16" t="str">
        <f>Aspects[[#This Row],[Phy min]] &amp; " - " &amp; Aspects[[#This Row],[Phy max]]</f>
        <v>6 - 15</v>
      </c>
      <c r="C17" s="13">
        <v>6</v>
      </c>
      <c r="D17" s="13">
        <v>15</v>
      </c>
      <c r="E17" s="16" t="str">
        <f>Aspects[[#This Row],[Men min]] &amp; " - " &amp; Aspects[[#This Row],[Men max]]</f>
        <v>10 - 18</v>
      </c>
      <c r="F17" s="13">
        <v>10</v>
      </c>
      <c r="G17" s="13">
        <v>18</v>
      </c>
      <c r="H17" s="16" t="str">
        <f>Aspects[[#This Row],[Cha min]] &amp; " - " &amp; Aspects[[#This Row],[Cha max]]</f>
        <v>15 - 20</v>
      </c>
      <c r="I17" s="13">
        <v>15</v>
      </c>
      <c r="J17" s="13">
        <v>20</v>
      </c>
      <c r="K17" s="14">
        <f>Aspects[[#This Row],[Phy min]]+Aspects[[#This Row],[Men min]]+Aspects[[#This Row],[Cha min]]</f>
        <v>31</v>
      </c>
      <c r="L17" s="14">
        <f>Aspects[[#This Row],[Phy max]]+Aspects[[#This Row],[Men max]]+Aspects[[#This Row],[Cha max]]</f>
        <v>53</v>
      </c>
      <c r="M17" s="14">
        <f>MAX(Aspects[[#This Row],[Max stats]]-Aspects[[#This Row],[Min stats]],0)</f>
        <v>22</v>
      </c>
      <c r="N17" s="12">
        <f>ROUNDUP(AVERAGE(Aspects[[#This Row],[Phy min]:[Phy max]])*WPHYSIC+AVERAGE(Aspects[[#This Row],[Men min]:[Men max]])*WMENTAL+AVERAGE(Aspects[[#This Row],[Cha min]:[Cha max]])*WCHARAC,0)</f>
        <v>10</v>
      </c>
      <c r="O17" s="2" t="s">
        <v>43</v>
      </c>
      <c r="P17" s="1" t="s">
        <v>0</v>
      </c>
      <c r="Q17" s="10" t="str">
        <f>IFERROR(VLOOKUP(Aspects[[#This Row],[Alignement]],Alignement[],2,FALSE),"")</f>
        <v>Mauvais</v>
      </c>
      <c r="R17" s="10" t="str">
        <f>IFERROR(VLOOKUP(Aspects[[#This Row],[Alignement]],Alignement[],3,FALSE),"")</f>
        <v>Neutre</v>
      </c>
      <c r="S17" s="8">
        <f>IF(Aspects[[#This Row],[Men min]]&lt;8,0,1)</f>
        <v>1</v>
      </c>
      <c r="T17" s="8">
        <f>IF(OR(AND(Aspects[[#This Row],[Min stats]]&lt;=35,Aspects[[#This Row],[Loyauté]]&lt;&gt;"Loyal"),AND(Aspects[[#This Row],[Min stats]]&lt;=25,Aspects[[#This Row],[Loyauté]]="Loyal")),1,0)</f>
        <v>1</v>
      </c>
      <c r="U17" s="8">
        <f>IF(Aspects[[#This Row],[Max stats]]&gt;=43,1,0)</f>
        <v>1</v>
      </c>
      <c r="V17" s="8">
        <f>IF(OR(AND(Aspects[[#This Row],[Range stats]]&gt;=15,Aspects[[#This Row],[Range stats]]&lt;=27,Aspects[[#This Row],[Loyauté]]&lt;&gt;"Loyal"),AND(Aspects[[#This Row],[Range stats]]&gt;=27,Aspects[[#This Row],[Range stats]]&lt;=40,Aspects[[#This Row],[Loyauté]]="Loyal")),1,0)</f>
        <v>1</v>
      </c>
      <c r="W17" s="9"/>
    </row>
    <row r="18" spans="1:23" x14ac:dyDescent="0.25">
      <c r="A18" s="1" t="s">
        <v>21</v>
      </c>
      <c r="B18" s="16" t="str">
        <f>Aspects[[#This Row],[Phy min]] &amp; " - " &amp; Aspects[[#This Row],[Phy max]]</f>
        <v>0 - 15</v>
      </c>
      <c r="C18" s="13">
        <v>0</v>
      </c>
      <c r="D18" s="13">
        <v>15</v>
      </c>
      <c r="E18" s="16" t="str">
        <f>Aspects[[#This Row],[Men min]] &amp; " - " &amp; Aspects[[#This Row],[Men max]]</f>
        <v>15 - 20</v>
      </c>
      <c r="F18" s="13">
        <v>15</v>
      </c>
      <c r="G18" s="13">
        <v>20</v>
      </c>
      <c r="H18" s="16" t="str">
        <f>Aspects[[#This Row],[Cha min]] &amp; " - " &amp; Aspects[[#This Row],[Cha max]]</f>
        <v>5 - 20</v>
      </c>
      <c r="I18" s="13">
        <v>5</v>
      </c>
      <c r="J18" s="13">
        <v>20</v>
      </c>
      <c r="K18" s="14">
        <f>Aspects[[#This Row],[Phy min]]+Aspects[[#This Row],[Men min]]+Aspects[[#This Row],[Cha min]]</f>
        <v>20</v>
      </c>
      <c r="L18" s="14">
        <f>Aspects[[#This Row],[Phy max]]+Aspects[[#This Row],[Men max]]+Aspects[[#This Row],[Cha max]]</f>
        <v>55</v>
      </c>
      <c r="M18" s="14">
        <f>MAX(Aspects[[#This Row],[Max stats]]-Aspects[[#This Row],[Min stats]],0)</f>
        <v>35</v>
      </c>
      <c r="N18" s="12">
        <f>ROUNDUP(AVERAGE(Aspects[[#This Row],[Phy min]:[Phy max]])*WPHYSIC+AVERAGE(Aspects[[#This Row],[Men min]:[Men max]])*WMENTAL+AVERAGE(Aspects[[#This Row],[Cha min]:[Cha max]])*WCHARAC,0)</f>
        <v>9</v>
      </c>
      <c r="O18" s="2" t="s">
        <v>40</v>
      </c>
      <c r="P18" s="1" t="s">
        <v>9</v>
      </c>
      <c r="Q18" s="10" t="str">
        <f>IFERROR(VLOOKUP(Aspects[[#This Row],[Alignement]],Alignement[],2,FALSE),"")</f>
        <v>Neutre</v>
      </c>
      <c r="R18" s="10" t="str">
        <f>IFERROR(VLOOKUP(Aspects[[#This Row],[Alignement]],Alignement[],3,FALSE),"")</f>
        <v>Loyal</v>
      </c>
      <c r="S18" s="8">
        <f>IF(Aspects[[#This Row],[Men min]]&lt;8,0,1)</f>
        <v>1</v>
      </c>
      <c r="T18" s="8">
        <f>IF(OR(AND(Aspects[[#This Row],[Min stats]]&lt;=35,Aspects[[#This Row],[Loyauté]]&lt;&gt;"Loyal"),AND(Aspects[[#This Row],[Min stats]]&lt;=25,Aspects[[#This Row],[Loyauté]]="Loyal")),1,0)</f>
        <v>1</v>
      </c>
      <c r="U18" s="8">
        <f>IF(Aspects[[#This Row],[Max stats]]&gt;=43,1,0)</f>
        <v>1</v>
      </c>
      <c r="V18" s="8">
        <f>IF(OR(AND(Aspects[[#This Row],[Range stats]]&gt;=15,Aspects[[#This Row],[Range stats]]&lt;=27,Aspects[[#This Row],[Loyauté]]&lt;&gt;"Loyal"),AND(Aspects[[#This Row],[Range stats]]&gt;=27,Aspects[[#This Row],[Range stats]]&lt;=40,Aspects[[#This Row],[Loyauté]]="Loyal")),1,0)</f>
        <v>1</v>
      </c>
      <c r="W18" s="9"/>
    </row>
    <row r="19" spans="1:23" x14ac:dyDescent="0.25">
      <c r="A19" s="1" t="s">
        <v>54</v>
      </c>
      <c r="B19" s="16" t="str">
        <f>Aspects[[#This Row],[Phy min]] &amp; " - " &amp; Aspects[[#This Row],[Phy max]]</f>
        <v>6 - 13</v>
      </c>
      <c r="C19" s="13">
        <v>6</v>
      </c>
      <c r="D19" s="13">
        <v>13</v>
      </c>
      <c r="E19" s="16" t="str">
        <f>Aspects[[#This Row],[Men min]] &amp; " - " &amp; Aspects[[#This Row],[Men max]]</f>
        <v>15 - 20</v>
      </c>
      <c r="F19" s="13">
        <v>15</v>
      </c>
      <c r="G19" s="13">
        <v>20</v>
      </c>
      <c r="H19" s="16" t="str">
        <f>Aspects[[#This Row],[Cha min]] &amp; " - " &amp; Aspects[[#This Row],[Cha max]]</f>
        <v>10 - 20</v>
      </c>
      <c r="I19" s="13">
        <v>10</v>
      </c>
      <c r="J19" s="13">
        <v>20</v>
      </c>
      <c r="K19" s="14">
        <f>Aspects[[#This Row],[Phy min]]+Aspects[[#This Row],[Men min]]+Aspects[[#This Row],[Cha min]]</f>
        <v>31</v>
      </c>
      <c r="L19" s="14">
        <f>Aspects[[#This Row],[Phy max]]+Aspects[[#This Row],[Men max]]+Aspects[[#This Row],[Cha max]]</f>
        <v>53</v>
      </c>
      <c r="M19" s="14">
        <f>MAX(Aspects[[#This Row],[Max stats]]-Aspects[[#This Row],[Min stats]],0)</f>
        <v>22</v>
      </c>
      <c r="N19" s="12">
        <f>ROUNDUP(AVERAGE(Aspects[[#This Row],[Phy min]:[Phy max]])*WPHYSIC+AVERAGE(Aspects[[#This Row],[Men min]:[Men max]])*WMENTAL+AVERAGE(Aspects[[#This Row],[Cha min]:[Cha max]])*WCHARAC,0)</f>
        <v>10</v>
      </c>
      <c r="O19" s="2" t="s">
        <v>40</v>
      </c>
      <c r="P19" s="1" t="s">
        <v>8</v>
      </c>
      <c r="Q19" s="10" t="str">
        <f>IFERROR(VLOOKUP(Aspects[[#This Row],[Alignement]],Alignement[],2,FALSE),"")</f>
        <v>Mauvais</v>
      </c>
      <c r="R19" s="10" t="str">
        <f>IFERROR(VLOOKUP(Aspects[[#This Row],[Alignement]],Alignement[],3,FALSE),"")</f>
        <v>Chaotique</v>
      </c>
      <c r="S19" s="8">
        <f>IF(Aspects[[#This Row],[Men min]]&lt;8,0,1)</f>
        <v>1</v>
      </c>
      <c r="T19" s="8">
        <f>IF(OR(AND(Aspects[[#This Row],[Min stats]]&lt;=35,Aspects[[#This Row],[Loyauté]]&lt;&gt;"Loyal"),AND(Aspects[[#This Row],[Min stats]]&lt;=25,Aspects[[#This Row],[Loyauté]]="Loyal")),1,0)</f>
        <v>1</v>
      </c>
      <c r="U19" s="8">
        <f>IF(Aspects[[#This Row],[Max stats]]&gt;=43,1,0)</f>
        <v>1</v>
      </c>
      <c r="V19" s="8">
        <f>IF(OR(AND(Aspects[[#This Row],[Range stats]]&gt;=15,Aspects[[#This Row],[Range stats]]&lt;=27,Aspects[[#This Row],[Loyauté]]&lt;&gt;"Loyal"),AND(Aspects[[#This Row],[Range stats]]&gt;=27,Aspects[[#This Row],[Range stats]]&lt;=40,Aspects[[#This Row],[Loyauté]]="Loyal")),1,0)</f>
        <v>1</v>
      </c>
      <c r="W19" s="9"/>
    </row>
    <row r="20" spans="1:23" x14ac:dyDescent="0.25">
      <c r="A20" s="1" t="s">
        <v>46</v>
      </c>
      <c r="B20" s="16" t="str">
        <f>Aspects[[#This Row],[Phy min]] &amp; " - " &amp; Aspects[[#This Row],[Phy max]]</f>
        <v>10 - 22</v>
      </c>
      <c r="C20" s="13">
        <v>10</v>
      </c>
      <c r="D20" s="13">
        <v>22</v>
      </c>
      <c r="E20" s="16" t="str">
        <f>Aspects[[#This Row],[Men min]] &amp; " - " &amp; Aspects[[#This Row],[Men max]]</f>
        <v>10 - 20</v>
      </c>
      <c r="F20" s="13">
        <v>10</v>
      </c>
      <c r="G20" s="13">
        <v>20</v>
      </c>
      <c r="H20" s="16" t="str">
        <f>Aspects[[#This Row],[Cha min]] &amp; " - " &amp; Aspects[[#This Row],[Cha max]]</f>
        <v>0 - 12</v>
      </c>
      <c r="I20" s="13">
        <v>0</v>
      </c>
      <c r="J20" s="13">
        <v>12</v>
      </c>
      <c r="K20" s="14">
        <f>Aspects[[#This Row],[Phy min]]+Aspects[[#This Row],[Men min]]+Aspects[[#This Row],[Cha min]]</f>
        <v>20</v>
      </c>
      <c r="L20" s="14">
        <f>Aspects[[#This Row],[Phy max]]+Aspects[[#This Row],[Men max]]+Aspects[[#This Row],[Cha max]]</f>
        <v>54</v>
      </c>
      <c r="M20" s="14">
        <f>MAX(Aspects[[#This Row],[Max stats]]-Aspects[[#This Row],[Min stats]],0)</f>
        <v>34</v>
      </c>
      <c r="N20" s="12">
        <f>ROUNDUP(AVERAGE(Aspects[[#This Row],[Phy min]:[Phy max]])*WPHYSIC+AVERAGE(Aspects[[#This Row],[Men min]:[Men max]])*WMENTAL+AVERAGE(Aspects[[#This Row],[Cha min]:[Cha max]])*WCHARAC,0)</f>
        <v>8</v>
      </c>
      <c r="O20" s="2" t="s">
        <v>38</v>
      </c>
      <c r="P20" s="1" t="s">
        <v>9</v>
      </c>
      <c r="Q20" s="10" t="str">
        <f>IFERROR(VLOOKUP(Aspects[[#This Row],[Alignement]],Alignement[],2,FALSE),"")</f>
        <v>Neutre</v>
      </c>
      <c r="R20" s="10" t="str">
        <f>IFERROR(VLOOKUP(Aspects[[#This Row],[Alignement]],Alignement[],3,FALSE),"")</f>
        <v>Loyal</v>
      </c>
      <c r="S20" s="8">
        <f>IF(Aspects[[#This Row],[Men min]]&lt;8,0,1)</f>
        <v>1</v>
      </c>
      <c r="T20" s="8">
        <f>IF(OR(AND(Aspects[[#This Row],[Min stats]]&lt;=35,Aspects[[#This Row],[Loyauté]]&lt;&gt;"Loyal"),AND(Aspects[[#This Row],[Min stats]]&lt;=25,Aspects[[#This Row],[Loyauté]]="Loyal")),1,0)</f>
        <v>1</v>
      </c>
      <c r="U20" s="8">
        <f>IF(Aspects[[#This Row],[Max stats]]&gt;=43,1,0)</f>
        <v>1</v>
      </c>
      <c r="V20" s="8">
        <f>IF(OR(AND(Aspects[[#This Row],[Range stats]]&gt;=15,Aspects[[#This Row],[Range stats]]&lt;=27,Aspects[[#This Row],[Loyauté]]&lt;&gt;"Loyal"),AND(Aspects[[#This Row],[Range stats]]&gt;=27,Aspects[[#This Row],[Range stats]]&lt;=40,Aspects[[#This Row],[Loyauté]]="Loyal")),1,0)</f>
        <v>1</v>
      </c>
      <c r="W20" s="9"/>
    </row>
    <row r="21" spans="1:23" x14ac:dyDescent="0.25">
      <c r="A21" s="1" t="s">
        <v>59</v>
      </c>
      <c r="B21" s="16" t="str">
        <f>Aspects[[#This Row],[Phy min]] &amp; " - " &amp; Aspects[[#This Row],[Phy max]]</f>
        <v>10 - 18</v>
      </c>
      <c r="C21" s="13">
        <v>10</v>
      </c>
      <c r="D21" s="13">
        <v>18</v>
      </c>
      <c r="E21" s="16" t="str">
        <f>Aspects[[#This Row],[Men min]] &amp; " - " &amp; Aspects[[#This Row],[Men max]]</f>
        <v>12 - 20</v>
      </c>
      <c r="F21" s="13">
        <v>12</v>
      </c>
      <c r="G21" s="13">
        <v>20</v>
      </c>
      <c r="H21" s="16" t="str">
        <f>Aspects[[#This Row],[Cha min]] &amp; " - " &amp; Aspects[[#This Row],[Cha max]]</f>
        <v>10 - 18</v>
      </c>
      <c r="I21" s="13">
        <v>10</v>
      </c>
      <c r="J21" s="13">
        <v>18</v>
      </c>
      <c r="K21" s="14">
        <f>Aspects[[#This Row],[Phy min]]+Aspects[[#This Row],[Men min]]+Aspects[[#This Row],[Cha min]]</f>
        <v>32</v>
      </c>
      <c r="L21" s="14">
        <f>Aspects[[#This Row],[Phy max]]+Aspects[[#This Row],[Men max]]+Aspects[[#This Row],[Cha max]]</f>
        <v>56</v>
      </c>
      <c r="M21" s="14">
        <f>MAX(Aspects[[#This Row],[Max stats]]-Aspects[[#This Row],[Min stats]],0)</f>
        <v>24</v>
      </c>
      <c r="N21" s="12">
        <f>ROUNDUP(AVERAGE(Aspects[[#This Row],[Phy min]:[Phy max]])*WPHYSIC+AVERAGE(Aspects[[#This Row],[Men min]:[Men max]])*WMENTAL+AVERAGE(Aspects[[#This Row],[Cha min]:[Cha max]])*WCHARAC,0)</f>
        <v>10</v>
      </c>
      <c r="O21" s="2" t="s">
        <v>41</v>
      </c>
      <c r="P21" s="1" t="s">
        <v>0</v>
      </c>
      <c r="Q21" s="10" t="str">
        <f>IFERROR(VLOOKUP(Aspects[[#This Row],[Alignement]],Alignement[],2,FALSE),"")</f>
        <v>Mauvais</v>
      </c>
      <c r="R21" s="10" t="str">
        <f>IFERROR(VLOOKUP(Aspects[[#This Row],[Alignement]],Alignement[],3,FALSE),"")</f>
        <v>Neutre</v>
      </c>
      <c r="S21" s="8">
        <f>IF(Aspects[[#This Row],[Men min]]&lt;8,0,1)</f>
        <v>1</v>
      </c>
      <c r="T21" s="8">
        <f>IF(OR(AND(Aspects[[#This Row],[Min stats]]&lt;=35,Aspects[[#This Row],[Loyauté]]&lt;&gt;"Loyal"),AND(Aspects[[#This Row],[Min stats]]&lt;=25,Aspects[[#This Row],[Loyauté]]="Loyal")),1,0)</f>
        <v>1</v>
      </c>
      <c r="U21" s="8">
        <f>IF(Aspects[[#This Row],[Max stats]]&gt;=43,1,0)</f>
        <v>1</v>
      </c>
      <c r="V21" s="8">
        <f>IF(OR(AND(Aspects[[#This Row],[Range stats]]&gt;=15,Aspects[[#This Row],[Range stats]]&lt;=27,Aspects[[#This Row],[Loyauté]]&lt;&gt;"Loyal"),AND(Aspects[[#This Row],[Range stats]]&gt;=27,Aspects[[#This Row],[Range stats]]&lt;=40,Aspects[[#This Row],[Loyauté]]="Loyal")),1,0)</f>
        <v>1</v>
      </c>
      <c r="W21" s="9"/>
    </row>
    <row r="22" spans="1:23" x14ac:dyDescent="0.25">
      <c r="A22" s="1" t="s">
        <v>52</v>
      </c>
      <c r="B22" s="16" t="str">
        <f>Aspects[[#This Row],[Phy min]] &amp; " - " &amp; Aspects[[#This Row],[Phy max]]</f>
        <v>6 - 18</v>
      </c>
      <c r="C22" s="13">
        <v>6</v>
      </c>
      <c r="D22" s="13">
        <v>18</v>
      </c>
      <c r="E22" s="16" t="str">
        <f>Aspects[[#This Row],[Men min]] &amp; " - " &amp; Aspects[[#This Row],[Men max]]</f>
        <v>8 - 20</v>
      </c>
      <c r="F22" s="13">
        <v>8</v>
      </c>
      <c r="G22" s="13">
        <v>20</v>
      </c>
      <c r="H22" s="16" t="str">
        <f>Aspects[[#This Row],[Cha min]] &amp; " - " &amp; Aspects[[#This Row],[Cha max]]</f>
        <v>8 - 20</v>
      </c>
      <c r="I22" s="13">
        <v>8</v>
      </c>
      <c r="J22" s="13">
        <v>20</v>
      </c>
      <c r="K22" s="14">
        <f>Aspects[[#This Row],[Phy min]]+Aspects[[#This Row],[Men min]]+Aspects[[#This Row],[Cha min]]</f>
        <v>22</v>
      </c>
      <c r="L22" s="14">
        <f>Aspects[[#This Row],[Phy max]]+Aspects[[#This Row],[Men max]]+Aspects[[#This Row],[Cha max]]</f>
        <v>58</v>
      </c>
      <c r="M22" s="14">
        <f>MAX(Aspects[[#This Row],[Max stats]]-Aspects[[#This Row],[Min stats]],0)</f>
        <v>36</v>
      </c>
      <c r="N22" s="12">
        <f>ROUNDUP(AVERAGE(Aspects[[#This Row],[Phy min]:[Phy max]])*WPHYSIC+AVERAGE(Aspects[[#This Row],[Men min]:[Men max]])*WMENTAL+AVERAGE(Aspects[[#This Row],[Cha min]:[Cha max]])*WCHARAC,0)</f>
        <v>9</v>
      </c>
      <c r="O22" s="2" t="s">
        <v>42</v>
      </c>
      <c r="P22" s="1" t="s">
        <v>9</v>
      </c>
      <c r="Q22" s="10" t="str">
        <f>IFERROR(VLOOKUP(Aspects[[#This Row],[Alignement]],Alignement[],2,FALSE),"")</f>
        <v>Neutre</v>
      </c>
      <c r="R22" s="10" t="str">
        <f>IFERROR(VLOOKUP(Aspects[[#This Row],[Alignement]],Alignement[],3,FALSE),"")</f>
        <v>Loyal</v>
      </c>
      <c r="S22" s="8">
        <f>IF(Aspects[[#This Row],[Men min]]&lt;8,0,1)</f>
        <v>1</v>
      </c>
      <c r="T22" s="8">
        <f>IF(OR(AND(Aspects[[#This Row],[Min stats]]&lt;=35,Aspects[[#This Row],[Loyauté]]&lt;&gt;"Loyal"),AND(Aspects[[#This Row],[Min stats]]&lt;=25,Aspects[[#This Row],[Loyauté]]="Loyal")),1,0)</f>
        <v>1</v>
      </c>
      <c r="U22" s="8">
        <f>IF(Aspects[[#This Row],[Max stats]]&gt;=43,1,0)</f>
        <v>1</v>
      </c>
      <c r="V22" s="8">
        <f>IF(OR(AND(Aspects[[#This Row],[Range stats]]&gt;=15,Aspects[[#This Row],[Range stats]]&lt;=27,Aspects[[#This Row],[Loyauté]]&lt;&gt;"Loyal"),AND(Aspects[[#This Row],[Range stats]]&gt;=27,Aspects[[#This Row],[Range stats]]&lt;=40,Aspects[[#This Row],[Loyauté]]="Loyal")),1,0)</f>
        <v>1</v>
      </c>
      <c r="W22" s="9"/>
    </row>
    <row r="23" spans="1:23" x14ac:dyDescent="0.25">
      <c r="A23" s="1" t="s">
        <v>16</v>
      </c>
      <c r="B23" s="16" t="str">
        <f>Aspects[[#This Row],[Phy min]] &amp; " - " &amp; Aspects[[#This Row],[Phy max]]</f>
        <v>8 - 13</v>
      </c>
      <c r="C23" s="13">
        <v>8</v>
      </c>
      <c r="D23" s="13">
        <v>13</v>
      </c>
      <c r="E23" s="16" t="str">
        <f>Aspects[[#This Row],[Men min]] &amp; " - " &amp; Aspects[[#This Row],[Men max]]</f>
        <v>10 - 20</v>
      </c>
      <c r="F23" s="13">
        <v>10</v>
      </c>
      <c r="G23" s="13">
        <v>20</v>
      </c>
      <c r="H23" s="16" t="str">
        <f>Aspects[[#This Row],[Cha min]] &amp; " - " &amp; Aspects[[#This Row],[Cha max]]</f>
        <v>5 - 15</v>
      </c>
      <c r="I23" s="13">
        <v>5</v>
      </c>
      <c r="J23" s="13">
        <v>15</v>
      </c>
      <c r="K23" s="14">
        <f>Aspects[[#This Row],[Phy min]]+Aspects[[#This Row],[Men min]]+Aspects[[#This Row],[Cha min]]</f>
        <v>23</v>
      </c>
      <c r="L23" s="14">
        <f>Aspects[[#This Row],[Phy max]]+Aspects[[#This Row],[Men max]]+Aspects[[#This Row],[Cha max]]</f>
        <v>48</v>
      </c>
      <c r="M23" s="14">
        <f>MAX(Aspects[[#This Row],[Max stats]]-Aspects[[#This Row],[Min stats]],0)</f>
        <v>25</v>
      </c>
      <c r="N23" s="12">
        <f>ROUNDUP(AVERAGE(Aspects[[#This Row],[Phy min]:[Phy max]])*WPHYSIC+AVERAGE(Aspects[[#This Row],[Men min]:[Men max]])*WMENTAL+AVERAGE(Aspects[[#This Row],[Cha min]:[Cha max]])*WCHARAC,0)</f>
        <v>8</v>
      </c>
      <c r="O23" s="2" t="s">
        <v>41</v>
      </c>
      <c r="P23" s="1" t="s">
        <v>5</v>
      </c>
      <c r="Q23" s="10" t="str">
        <f>IFERROR(VLOOKUP(Aspects[[#This Row],[Alignement]],Alignement[],2,FALSE),"")</f>
        <v>Neutre</v>
      </c>
      <c r="R23" s="10" t="str">
        <f>IFERROR(VLOOKUP(Aspects[[#This Row],[Alignement]],Alignement[],3,FALSE),"")</f>
        <v>Neutre</v>
      </c>
      <c r="S23" s="8">
        <f>IF(Aspects[[#This Row],[Men min]]&lt;8,0,1)</f>
        <v>1</v>
      </c>
      <c r="T23" s="8">
        <f>IF(OR(AND(Aspects[[#This Row],[Min stats]]&lt;=35,Aspects[[#This Row],[Loyauté]]&lt;&gt;"Loyal"),AND(Aspects[[#This Row],[Min stats]]&lt;=25,Aspects[[#This Row],[Loyauté]]="Loyal")),1,0)</f>
        <v>1</v>
      </c>
      <c r="U23" s="8">
        <f>IF(Aspects[[#This Row],[Max stats]]&gt;=43,1,0)</f>
        <v>1</v>
      </c>
      <c r="V23" s="8">
        <f>IF(OR(AND(Aspects[[#This Row],[Range stats]]&gt;=15,Aspects[[#This Row],[Range stats]]&lt;=27,Aspects[[#This Row],[Loyauté]]&lt;&gt;"Loyal"),AND(Aspects[[#This Row],[Range stats]]&gt;=27,Aspects[[#This Row],[Range stats]]&lt;=40,Aspects[[#This Row],[Loyauté]]="Loyal")),1,0)</f>
        <v>1</v>
      </c>
      <c r="W23" s="9"/>
    </row>
    <row r="24" spans="1:23" x14ac:dyDescent="0.25">
      <c r="A24" s="1" t="s">
        <v>49</v>
      </c>
      <c r="B24" s="16" t="str">
        <f>Aspects[[#This Row],[Phy min]] &amp; " - " &amp; Aspects[[#This Row],[Phy max]]</f>
        <v>18 - 28</v>
      </c>
      <c r="C24" s="13">
        <v>18</v>
      </c>
      <c r="D24" s="13">
        <v>28</v>
      </c>
      <c r="E24" s="16" t="str">
        <f>Aspects[[#This Row],[Men min]] &amp; " - " &amp; Aspects[[#This Row],[Men max]]</f>
        <v>0 - 10</v>
      </c>
      <c r="F24" s="13">
        <v>0</v>
      </c>
      <c r="G24" s="13">
        <v>10</v>
      </c>
      <c r="H24" s="16" t="str">
        <f>Aspects[[#This Row],[Cha min]] &amp; " - " &amp; Aspects[[#This Row],[Cha max]]</f>
        <v>3 - 10</v>
      </c>
      <c r="I24" s="13">
        <v>3</v>
      </c>
      <c r="J24" s="13">
        <v>10</v>
      </c>
      <c r="K24" s="14">
        <f>Aspects[[#This Row],[Phy min]]+Aspects[[#This Row],[Men min]]+Aspects[[#This Row],[Cha min]]</f>
        <v>21</v>
      </c>
      <c r="L24" s="14">
        <f>Aspects[[#This Row],[Phy max]]+Aspects[[#This Row],[Men max]]+Aspects[[#This Row],[Cha max]]</f>
        <v>48</v>
      </c>
      <c r="M24" s="14">
        <f>MAX(Aspects[[#This Row],[Max stats]]-Aspects[[#This Row],[Min stats]],0)</f>
        <v>27</v>
      </c>
      <c r="N24" s="12">
        <f>ROUNDUP(AVERAGE(Aspects[[#This Row],[Phy min]:[Phy max]])*WPHYSIC+AVERAGE(Aspects[[#This Row],[Men min]:[Men max]])*WMENTAL+AVERAGE(Aspects[[#This Row],[Cha min]:[Cha max]])*WCHARAC,0)</f>
        <v>7</v>
      </c>
      <c r="O24" s="2" t="s">
        <v>38</v>
      </c>
      <c r="P24" s="1" t="s">
        <v>4</v>
      </c>
      <c r="Q24" s="10" t="str">
        <f>IFERROR(VLOOKUP(Aspects[[#This Row],[Alignement]],Alignement[],2,FALSE),"")</f>
        <v>Neutre</v>
      </c>
      <c r="R24" s="10" t="str">
        <f>IFERROR(VLOOKUP(Aspects[[#This Row],[Alignement]],Alignement[],3,FALSE),"")</f>
        <v>Chaotique</v>
      </c>
      <c r="S24" s="8">
        <f>IF(Aspects[[#This Row],[Men min]]&lt;8,0,1)</f>
        <v>0</v>
      </c>
      <c r="T24" s="8">
        <f>IF(OR(AND(Aspects[[#This Row],[Min stats]]&lt;=35,Aspects[[#This Row],[Loyauté]]&lt;&gt;"Loyal"),AND(Aspects[[#This Row],[Min stats]]&lt;=25,Aspects[[#This Row],[Loyauté]]="Loyal")),1,0)</f>
        <v>1</v>
      </c>
      <c r="U24" s="8">
        <f>IF(Aspects[[#This Row],[Max stats]]&gt;=43,1,0)</f>
        <v>1</v>
      </c>
      <c r="V24" s="8">
        <f>IF(OR(AND(Aspects[[#This Row],[Range stats]]&gt;=15,Aspects[[#This Row],[Range stats]]&lt;=27,Aspects[[#This Row],[Loyauté]]&lt;&gt;"Loyal"),AND(Aspects[[#This Row],[Range stats]]&gt;=27,Aspects[[#This Row],[Range stats]]&lt;=40,Aspects[[#This Row],[Loyauté]]="Loyal")),1,0)</f>
        <v>1</v>
      </c>
      <c r="W24" s="9"/>
    </row>
    <row r="25" spans="1:23" x14ac:dyDescent="0.25">
      <c r="A25" s="1" t="s">
        <v>19</v>
      </c>
      <c r="B25" s="16" t="str">
        <f>Aspects[[#This Row],[Phy min]] &amp; " - " &amp; Aspects[[#This Row],[Phy max]]</f>
        <v>10 - 20</v>
      </c>
      <c r="C25" s="13">
        <v>10</v>
      </c>
      <c r="D25" s="13">
        <v>20</v>
      </c>
      <c r="E25" s="16" t="str">
        <f>Aspects[[#This Row],[Men min]] &amp; " - " &amp; Aspects[[#This Row],[Men max]]</f>
        <v>10 - 18</v>
      </c>
      <c r="F25" s="13">
        <v>10</v>
      </c>
      <c r="G25" s="13">
        <v>18</v>
      </c>
      <c r="H25" s="16" t="str">
        <f>Aspects[[#This Row],[Cha min]] &amp; " - " &amp; Aspects[[#This Row],[Cha max]]</f>
        <v>12 - 20</v>
      </c>
      <c r="I25" s="13">
        <v>12</v>
      </c>
      <c r="J25" s="13">
        <v>20</v>
      </c>
      <c r="K25" s="14">
        <f>Aspects[[#This Row],[Phy min]]+Aspects[[#This Row],[Men min]]+Aspects[[#This Row],[Cha min]]</f>
        <v>32</v>
      </c>
      <c r="L25" s="14">
        <f>Aspects[[#This Row],[Phy max]]+Aspects[[#This Row],[Men max]]+Aspects[[#This Row],[Cha max]]</f>
        <v>58</v>
      </c>
      <c r="M25" s="14">
        <f>MAX(Aspects[[#This Row],[Max stats]]-Aspects[[#This Row],[Min stats]],0)</f>
        <v>26</v>
      </c>
      <c r="N25" s="12">
        <f>ROUNDUP(AVERAGE(Aspects[[#This Row],[Phy min]:[Phy max]])*WPHYSIC+AVERAGE(Aspects[[#This Row],[Men min]:[Men max]])*WMENTAL+AVERAGE(Aspects[[#This Row],[Cha min]:[Cha max]])*WCHARAC,0)</f>
        <v>10</v>
      </c>
      <c r="O25" s="2" t="s">
        <v>43</v>
      </c>
      <c r="P25" s="1" t="s">
        <v>0</v>
      </c>
      <c r="Q25" s="10" t="str">
        <f>IFERROR(VLOOKUP(Aspects[[#This Row],[Alignement]],Alignement[],2,FALSE),"")</f>
        <v>Mauvais</v>
      </c>
      <c r="R25" s="10" t="str">
        <f>IFERROR(VLOOKUP(Aspects[[#This Row],[Alignement]],Alignement[],3,FALSE),"")</f>
        <v>Neutre</v>
      </c>
      <c r="S25" s="8">
        <f>IF(Aspects[[#This Row],[Men min]]&lt;8,0,1)</f>
        <v>1</v>
      </c>
      <c r="T25" s="8">
        <f>IF(OR(AND(Aspects[[#This Row],[Min stats]]&lt;=35,Aspects[[#This Row],[Loyauté]]&lt;&gt;"Loyal"),AND(Aspects[[#This Row],[Min stats]]&lt;=25,Aspects[[#This Row],[Loyauté]]="Loyal")),1,0)</f>
        <v>1</v>
      </c>
      <c r="U25" s="8">
        <f>IF(Aspects[[#This Row],[Max stats]]&gt;=43,1,0)</f>
        <v>1</v>
      </c>
      <c r="V25" s="8">
        <f>IF(OR(AND(Aspects[[#This Row],[Range stats]]&gt;=15,Aspects[[#This Row],[Range stats]]&lt;=27,Aspects[[#This Row],[Loyauté]]&lt;&gt;"Loyal"),AND(Aspects[[#This Row],[Range stats]]&gt;=27,Aspects[[#This Row],[Range stats]]&lt;=40,Aspects[[#This Row],[Loyauté]]="Loyal")),1,0)</f>
        <v>1</v>
      </c>
      <c r="W25" s="9"/>
    </row>
    <row r="26" spans="1:23" x14ac:dyDescent="0.25">
      <c r="A26" s="1" t="s">
        <v>50</v>
      </c>
      <c r="B26" s="16" t="str">
        <f>Aspects[[#This Row],[Phy min]] &amp; " - " &amp; Aspects[[#This Row],[Phy max]]</f>
        <v>15 - 27</v>
      </c>
      <c r="C26" s="13">
        <v>15</v>
      </c>
      <c r="D26" s="13">
        <v>27</v>
      </c>
      <c r="E26" s="16" t="str">
        <f>Aspects[[#This Row],[Men min]] &amp; " - " &amp; Aspects[[#This Row],[Men max]]</f>
        <v>10 - 15</v>
      </c>
      <c r="F26" s="13">
        <v>10</v>
      </c>
      <c r="G26" s="13">
        <v>15</v>
      </c>
      <c r="H26" s="16" t="str">
        <f>Aspects[[#This Row],[Cha min]] &amp; " - " &amp; Aspects[[#This Row],[Cha max]]</f>
        <v>10 - 20</v>
      </c>
      <c r="I26" s="13">
        <v>10</v>
      </c>
      <c r="J26" s="13">
        <v>20</v>
      </c>
      <c r="K26" s="14">
        <f>Aspects[[#This Row],[Phy min]]+Aspects[[#This Row],[Men min]]+Aspects[[#This Row],[Cha min]]</f>
        <v>35</v>
      </c>
      <c r="L26" s="14">
        <f>Aspects[[#This Row],[Phy max]]+Aspects[[#This Row],[Men max]]+Aspects[[#This Row],[Cha max]]</f>
        <v>62</v>
      </c>
      <c r="M26" s="14">
        <f>MAX(Aspects[[#This Row],[Max stats]]-Aspects[[#This Row],[Min stats]],0)</f>
        <v>27</v>
      </c>
      <c r="N26" s="12">
        <f>ROUNDUP(AVERAGE(Aspects[[#This Row],[Phy min]:[Phy max]])*WPHYSIC+AVERAGE(Aspects[[#This Row],[Men min]:[Men max]])*WMENTAL+AVERAGE(Aspects[[#This Row],[Cha min]:[Cha max]])*WCHARAC,0)</f>
        <v>11</v>
      </c>
      <c r="O26" s="2" t="s">
        <v>39</v>
      </c>
      <c r="P26" s="1" t="s">
        <v>8</v>
      </c>
      <c r="Q26" s="10" t="str">
        <f>IFERROR(VLOOKUP(Aspects[[#This Row],[Alignement]],Alignement[],2,FALSE),"")</f>
        <v>Mauvais</v>
      </c>
      <c r="R26" s="10" t="str">
        <f>IFERROR(VLOOKUP(Aspects[[#This Row],[Alignement]],Alignement[],3,FALSE),"")</f>
        <v>Chaotique</v>
      </c>
      <c r="S26" s="8">
        <f>IF(Aspects[[#This Row],[Men min]]&lt;8,0,1)</f>
        <v>1</v>
      </c>
      <c r="T26" s="8">
        <f>IF(OR(AND(Aspects[[#This Row],[Min stats]]&lt;=35,Aspects[[#This Row],[Loyauté]]&lt;&gt;"Loyal"),AND(Aspects[[#This Row],[Min stats]]&lt;=25,Aspects[[#This Row],[Loyauté]]="Loyal")),1,0)</f>
        <v>1</v>
      </c>
      <c r="U26" s="8">
        <f>IF(Aspects[[#This Row],[Max stats]]&gt;=43,1,0)</f>
        <v>1</v>
      </c>
      <c r="V26" s="8">
        <f>IF(OR(AND(Aspects[[#This Row],[Range stats]]&gt;=15,Aspects[[#This Row],[Range stats]]&lt;=27,Aspects[[#This Row],[Loyauté]]&lt;&gt;"Loyal"),AND(Aspects[[#This Row],[Range stats]]&gt;=27,Aspects[[#This Row],[Range stats]]&lt;=40,Aspects[[#This Row],[Loyauté]]="Loyal")),1,0)</f>
        <v>1</v>
      </c>
      <c r="W26" s="9"/>
    </row>
    <row r="27" spans="1:23" x14ac:dyDescent="0.25">
      <c r="A27" s="1" t="s">
        <v>63</v>
      </c>
      <c r="B27" s="16" t="str">
        <f>Aspects[[#This Row],[Phy min]] &amp; " - " &amp; Aspects[[#This Row],[Phy max]]</f>
        <v>12 - 20</v>
      </c>
      <c r="C27" s="13">
        <v>12</v>
      </c>
      <c r="D27" s="13">
        <v>20</v>
      </c>
      <c r="E27" s="16" t="str">
        <f>Aspects[[#This Row],[Men min]] &amp; " - " &amp; Aspects[[#This Row],[Men max]]</f>
        <v>8 - 18</v>
      </c>
      <c r="F27" s="13">
        <v>8</v>
      </c>
      <c r="G27" s="13">
        <v>18</v>
      </c>
      <c r="H27" s="16" t="str">
        <f>Aspects[[#This Row],[Cha min]] &amp; " - " &amp; Aspects[[#This Row],[Cha max]]</f>
        <v>12 - 20</v>
      </c>
      <c r="I27" s="13">
        <v>12</v>
      </c>
      <c r="J27" s="13">
        <v>20</v>
      </c>
      <c r="K27" s="14">
        <f>Aspects[[#This Row],[Phy min]]+Aspects[[#This Row],[Men min]]+Aspects[[#This Row],[Cha min]]</f>
        <v>32</v>
      </c>
      <c r="L27" s="14">
        <f>Aspects[[#This Row],[Phy max]]+Aspects[[#This Row],[Men max]]+Aspects[[#This Row],[Cha max]]</f>
        <v>58</v>
      </c>
      <c r="M27" s="14">
        <f>MAX(Aspects[[#This Row],[Max stats]]-Aspects[[#This Row],[Min stats]],0)</f>
        <v>26</v>
      </c>
      <c r="N27" s="12">
        <f>ROUNDUP(AVERAGE(Aspects[[#This Row],[Phy min]:[Phy max]])*WPHYSIC+AVERAGE(Aspects[[#This Row],[Men min]:[Men max]])*WMENTAL+AVERAGE(Aspects[[#This Row],[Cha min]:[Cha max]])*WCHARAC,0)</f>
        <v>10</v>
      </c>
      <c r="O27" s="2" t="s">
        <v>43</v>
      </c>
      <c r="P27" s="1" t="s">
        <v>8</v>
      </c>
      <c r="Q27" s="10" t="str">
        <f>IFERROR(VLOOKUP(Aspects[[#This Row],[Alignement]],Alignement[],2,FALSE),"")</f>
        <v>Mauvais</v>
      </c>
      <c r="R27" s="10" t="str">
        <f>IFERROR(VLOOKUP(Aspects[[#This Row],[Alignement]],Alignement[],3,FALSE),"")</f>
        <v>Chaotique</v>
      </c>
      <c r="S27" s="8">
        <f>IF(Aspects[[#This Row],[Men min]]&lt;8,0,1)</f>
        <v>1</v>
      </c>
      <c r="T27" s="8">
        <f>IF(OR(AND(Aspects[[#This Row],[Min stats]]&lt;=35,Aspects[[#This Row],[Loyauté]]&lt;&gt;"Loyal"),AND(Aspects[[#This Row],[Min stats]]&lt;=25,Aspects[[#This Row],[Loyauté]]="Loyal")),1,0)</f>
        <v>1</v>
      </c>
      <c r="U27" s="8">
        <f>IF(Aspects[[#This Row],[Max stats]]&gt;=43,1,0)</f>
        <v>1</v>
      </c>
      <c r="V27" s="8">
        <f>IF(OR(AND(Aspects[[#This Row],[Range stats]]&gt;=15,Aspects[[#This Row],[Range stats]]&lt;=27,Aspects[[#This Row],[Loyauté]]&lt;&gt;"Loyal"),AND(Aspects[[#This Row],[Range stats]]&gt;=27,Aspects[[#This Row],[Range stats]]&lt;=40,Aspects[[#This Row],[Loyauté]]="Loyal")),1,0)</f>
        <v>1</v>
      </c>
      <c r="W27" s="9"/>
    </row>
    <row r="28" spans="1:23" x14ac:dyDescent="0.25">
      <c r="A28" s="1" t="s">
        <v>79</v>
      </c>
      <c r="B28" s="16" t="str">
        <f>Aspects[[#This Row],[Phy min]] &amp; " - " &amp; Aspects[[#This Row],[Phy max]]</f>
        <v>15 - 23</v>
      </c>
      <c r="C28" s="13">
        <v>15</v>
      </c>
      <c r="D28" s="13">
        <v>23</v>
      </c>
      <c r="E28" s="16" t="str">
        <f>Aspects[[#This Row],[Men min]] &amp; " - " &amp; Aspects[[#This Row],[Men max]]</f>
        <v>8 - 15</v>
      </c>
      <c r="F28" s="13">
        <v>8</v>
      </c>
      <c r="G28" s="13">
        <v>15</v>
      </c>
      <c r="H28" s="16" t="str">
        <f>Aspects[[#This Row],[Cha min]] &amp; " - " &amp; Aspects[[#This Row],[Cha max]]</f>
        <v>10 - 18</v>
      </c>
      <c r="I28" s="13">
        <v>10</v>
      </c>
      <c r="J28" s="13">
        <v>18</v>
      </c>
      <c r="K28" s="14">
        <f>Aspects[[#This Row],[Phy min]]+Aspects[[#This Row],[Men min]]+Aspects[[#This Row],[Cha min]]</f>
        <v>33</v>
      </c>
      <c r="L28" s="14">
        <f>Aspects[[#This Row],[Phy max]]+Aspects[[#This Row],[Men max]]+Aspects[[#This Row],[Cha max]]</f>
        <v>56</v>
      </c>
      <c r="M28" s="14">
        <f>MAX(Aspects[[#This Row],[Max stats]]-Aspects[[#This Row],[Min stats]],0)</f>
        <v>23</v>
      </c>
      <c r="N28" s="12">
        <f>ROUNDUP(AVERAGE(Aspects[[#This Row],[Phy min]:[Phy max]])*WPHYSIC+AVERAGE(Aspects[[#This Row],[Men min]:[Men max]])*WMENTAL+AVERAGE(Aspects[[#This Row],[Cha min]:[Cha max]])*WCHARAC,0)</f>
        <v>10</v>
      </c>
      <c r="O28" s="2" t="s">
        <v>38</v>
      </c>
      <c r="P28" s="1" t="s">
        <v>6</v>
      </c>
      <c r="Q28" s="10" t="str">
        <f>IFERROR(VLOOKUP(Aspects[[#This Row],[Alignement]],Alignement[],2,FALSE),"")</f>
        <v>Bon</v>
      </c>
      <c r="R28" s="10" t="str">
        <f>IFERROR(VLOOKUP(Aspects[[#This Row],[Alignement]],Alignement[],3,FALSE),"")</f>
        <v>Chaotique</v>
      </c>
      <c r="S28" s="8">
        <f>IF(Aspects[[#This Row],[Men min]]&lt;8,0,1)</f>
        <v>1</v>
      </c>
      <c r="T28" s="8">
        <f>IF(OR(AND(Aspects[[#This Row],[Min stats]]&lt;=35,Aspects[[#This Row],[Loyauté]]&lt;&gt;"Loyal"),AND(Aspects[[#This Row],[Min stats]]&lt;=25,Aspects[[#This Row],[Loyauté]]="Loyal")),1,0)</f>
        <v>1</v>
      </c>
      <c r="U28" s="8">
        <f>IF(Aspects[[#This Row],[Max stats]]&gt;=43,1,0)</f>
        <v>1</v>
      </c>
      <c r="V28" s="8">
        <f>IF(OR(AND(Aspects[[#This Row],[Range stats]]&gt;=15,Aspects[[#This Row],[Range stats]]&lt;=27,Aspects[[#This Row],[Loyauté]]&lt;&gt;"Loyal"),AND(Aspects[[#This Row],[Range stats]]&gt;=27,Aspects[[#This Row],[Range stats]]&lt;=40,Aspects[[#This Row],[Loyauté]]="Loyal")),1,0)</f>
        <v>1</v>
      </c>
      <c r="W28" s="9"/>
    </row>
    <row r="29" spans="1:23" x14ac:dyDescent="0.25">
      <c r="A29" t="s">
        <v>44</v>
      </c>
      <c r="B29" s="16" t="str">
        <f>Aspects[[#This Row],[Phy min]] &amp; " - " &amp; Aspects[[#This Row],[Phy max]]</f>
        <v>8 - 18</v>
      </c>
      <c r="C29" s="13">
        <v>8</v>
      </c>
      <c r="D29" s="13">
        <v>18</v>
      </c>
      <c r="E29" s="16" t="str">
        <f>Aspects[[#This Row],[Men min]] &amp; " - " &amp; Aspects[[#This Row],[Men max]]</f>
        <v>12 - 20</v>
      </c>
      <c r="F29" s="13">
        <v>12</v>
      </c>
      <c r="G29" s="13">
        <v>20</v>
      </c>
      <c r="H29" s="16" t="str">
        <f>Aspects[[#This Row],[Cha min]] &amp; " - " &amp; Aspects[[#This Row],[Cha max]]</f>
        <v>5 - 12</v>
      </c>
      <c r="I29" s="13">
        <v>5</v>
      </c>
      <c r="J29" s="13">
        <v>12</v>
      </c>
      <c r="K29" s="14">
        <f>Aspects[[#This Row],[Phy min]]+Aspects[[#This Row],[Men min]]+Aspects[[#This Row],[Cha min]]</f>
        <v>25</v>
      </c>
      <c r="L29" s="14">
        <f>Aspects[[#This Row],[Phy max]]+Aspects[[#This Row],[Men max]]+Aspects[[#This Row],[Cha max]]</f>
        <v>50</v>
      </c>
      <c r="M29" s="14">
        <f>MAX(Aspects[[#This Row],[Max stats]]-Aspects[[#This Row],[Min stats]],0)</f>
        <v>25</v>
      </c>
      <c r="N29" s="12">
        <f>ROUNDUP(AVERAGE(Aspects[[#This Row],[Phy min]:[Phy max]])*WPHYSIC+AVERAGE(Aspects[[#This Row],[Men min]:[Men max]])*WMENTAL+AVERAGE(Aspects[[#This Row],[Cha min]:[Cha max]])*WCHARAC,0)</f>
        <v>8</v>
      </c>
      <c r="O29" s="2" t="s">
        <v>40</v>
      </c>
      <c r="P29" s="1" t="s">
        <v>6</v>
      </c>
      <c r="Q29" s="10" t="str">
        <f>IFERROR(VLOOKUP(Aspects[[#This Row],[Alignement]],Alignement[],2,FALSE),"")</f>
        <v>Bon</v>
      </c>
      <c r="R29" s="10" t="str">
        <f>IFERROR(VLOOKUP(Aspects[[#This Row],[Alignement]],Alignement[],3,FALSE),"")</f>
        <v>Chaotique</v>
      </c>
      <c r="S29" s="8">
        <f>IF(Aspects[[#This Row],[Men min]]&lt;8,0,1)</f>
        <v>1</v>
      </c>
      <c r="T29" s="8">
        <f>IF(OR(AND(Aspects[[#This Row],[Min stats]]&lt;=35,Aspects[[#This Row],[Loyauté]]&lt;&gt;"Loyal"),AND(Aspects[[#This Row],[Min stats]]&lt;=25,Aspects[[#This Row],[Loyauté]]="Loyal")),1,0)</f>
        <v>1</v>
      </c>
      <c r="U29" s="8">
        <f>IF(Aspects[[#This Row],[Max stats]]&gt;=43,1,0)</f>
        <v>1</v>
      </c>
      <c r="V29" s="8">
        <f>IF(OR(AND(Aspects[[#This Row],[Range stats]]&gt;=15,Aspects[[#This Row],[Range stats]]&lt;=27,Aspects[[#This Row],[Loyauté]]&lt;&gt;"Loyal"),AND(Aspects[[#This Row],[Range stats]]&gt;=27,Aspects[[#This Row],[Range stats]]&lt;=40,Aspects[[#This Row],[Loyauté]]="Loyal")),1,0)</f>
        <v>1</v>
      </c>
      <c r="W29" s="9"/>
    </row>
    <row r="30" spans="1:23" x14ac:dyDescent="0.25">
      <c r="A30" s="1" t="s">
        <v>48</v>
      </c>
      <c r="B30" s="16" t="str">
        <f>Aspects[[#This Row],[Phy min]] &amp; " - " &amp; Aspects[[#This Row],[Phy max]]</f>
        <v>17 - 28</v>
      </c>
      <c r="C30" s="13">
        <v>17</v>
      </c>
      <c r="D30" s="13">
        <v>28</v>
      </c>
      <c r="E30" s="16" t="str">
        <f>Aspects[[#This Row],[Men min]] &amp; " - " &amp; Aspects[[#This Row],[Men max]]</f>
        <v>8 - 15</v>
      </c>
      <c r="F30" s="13">
        <v>8</v>
      </c>
      <c r="G30" s="13">
        <v>15</v>
      </c>
      <c r="H30" s="16" t="str">
        <f>Aspects[[#This Row],[Cha min]] &amp; " - " &amp; Aspects[[#This Row],[Cha max]]</f>
        <v>10 - 18</v>
      </c>
      <c r="I30" s="13">
        <v>10</v>
      </c>
      <c r="J30" s="13">
        <v>18</v>
      </c>
      <c r="K30" s="14">
        <f>Aspects[[#This Row],[Phy min]]+Aspects[[#This Row],[Men min]]+Aspects[[#This Row],[Cha min]]</f>
        <v>35</v>
      </c>
      <c r="L30" s="14">
        <f>Aspects[[#This Row],[Phy max]]+Aspects[[#This Row],[Men max]]+Aspects[[#This Row],[Cha max]]</f>
        <v>61</v>
      </c>
      <c r="M30" s="14">
        <f>MAX(Aspects[[#This Row],[Max stats]]-Aspects[[#This Row],[Min stats]],0)</f>
        <v>26</v>
      </c>
      <c r="N30" s="12">
        <f>ROUNDUP(AVERAGE(Aspects[[#This Row],[Phy min]:[Phy max]])*WPHYSIC+AVERAGE(Aspects[[#This Row],[Men min]:[Men max]])*WMENTAL+AVERAGE(Aspects[[#This Row],[Cha min]:[Cha max]])*WCHARAC,0)</f>
        <v>10</v>
      </c>
      <c r="O30" s="2" t="s">
        <v>37</v>
      </c>
      <c r="P30" s="1" t="s">
        <v>8</v>
      </c>
      <c r="Q30" s="10" t="str">
        <f>IFERROR(VLOOKUP(Aspects[[#This Row],[Alignement]],Alignement[],2,FALSE),"")</f>
        <v>Mauvais</v>
      </c>
      <c r="R30" s="10" t="str">
        <f>IFERROR(VLOOKUP(Aspects[[#This Row],[Alignement]],Alignement[],3,FALSE),"")</f>
        <v>Chaotique</v>
      </c>
      <c r="S30" s="8">
        <f>IF(Aspects[[#This Row],[Men min]]&lt;8,0,1)</f>
        <v>1</v>
      </c>
      <c r="T30" s="8">
        <f>IF(OR(AND(Aspects[[#This Row],[Min stats]]&lt;=35,Aspects[[#This Row],[Loyauté]]&lt;&gt;"Loyal"),AND(Aspects[[#This Row],[Min stats]]&lt;=25,Aspects[[#This Row],[Loyauté]]="Loyal")),1,0)</f>
        <v>1</v>
      </c>
      <c r="U30" s="8">
        <f>IF(Aspects[[#This Row],[Max stats]]&gt;=43,1,0)</f>
        <v>1</v>
      </c>
      <c r="V30" s="8">
        <f>IF(OR(AND(Aspects[[#This Row],[Range stats]]&gt;=15,Aspects[[#This Row],[Range stats]]&lt;=27,Aspects[[#This Row],[Loyauté]]&lt;&gt;"Loyal"),AND(Aspects[[#This Row],[Range stats]]&gt;=27,Aspects[[#This Row],[Range stats]]&lt;=40,Aspects[[#This Row],[Loyauté]]="Loyal")),1,0)</f>
        <v>1</v>
      </c>
      <c r="W30" s="9"/>
    </row>
    <row r="31" spans="1:23" x14ac:dyDescent="0.25">
      <c r="A31" s="1" t="s">
        <v>20</v>
      </c>
      <c r="B31" s="16" t="str">
        <f>Aspects[[#This Row],[Phy min]] &amp; " - " &amp; Aspects[[#This Row],[Phy max]]</f>
        <v>18 - 22</v>
      </c>
      <c r="C31" s="13">
        <v>18</v>
      </c>
      <c r="D31" s="13">
        <v>22</v>
      </c>
      <c r="E31" s="16" t="str">
        <f>Aspects[[#This Row],[Men min]] &amp; " - " &amp; Aspects[[#This Row],[Men max]]</f>
        <v>3 - 13</v>
      </c>
      <c r="F31" s="13">
        <v>3</v>
      </c>
      <c r="G31" s="13">
        <v>13</v>
      </c>
      <c r="H31" s="16" t="str">
        <f>Aspects[[#This Row],[Cha min]] &amp; " - " &amp; Aspects[[#This Row],[Cha max]]</f>
        <v>10 - 20</v>
      </c>
      <c r="I31" s="13">
        <v>10</v>
      </c>
      <c r="J31" s="13">
        <v>20</v>
      </c>
      <c r="K31" s="14">
        <f>Aspects[[#This Row],[Phy min]]+Aspects[[#This Row],[Men min]]+Aspects[[#This Row],[Cha min]]</f>
        <v>31</v>
      </c>
      <c r="L31" s="14">
        <f>Aspects[[#This Row],[Phy max]]+Aspects[[#This Row],[Men max]]+Aspects[[#This Row],[Cha max]]</f>
        <v>55</v>
      </c>
      <c r="M31" s="14">
        <f>MAX(Aspects[[#This Row],[Max stats]]-Aspects[[#This Row],[Min stats]],0)</f>
        <v>24</v>
      </c>
      <c r="N31" s="12">
        <f>ROUNDUP(AVERAGE(Aspects[[#This Row],[Phy min]:[Phy max]])*WPHYSIC+AVERAGE(Aspects[[#This Row],[Men min]:[Men max]])*WMENTAL+AVERAGE(Aspects[[#This Row],[Cha min]:[Cha max]])*WCHARAC,0)</f>
        <v>10</v>
      </c>
      <c r="O31" s="2" t="s">
        <v>37</v>
      </c>
      <c r="P31" s="1" t="s">
        <v>8</v>
      </c>
      <c r="Q31" s="10" t="str">
        <f>IFERROR(VLOOKUP(Aspects[[#This Row],[Alignement]],Alignement[],2,FALSE),"")</f>
        <v>Mauvais</v>
      </c>
      <c r="R31" s="10" t="str">
        <f>IFERROR(VLOOKUP(Aspects[[#This Row],[Alignement]],Alignement[],3,FALSE),"")</f>
        <v>Chaotique</v>
      </c>
      <c r="S31" s="8">
        <f>IF(Aspects[[#This Row],[Men min]]&lt;8,0,1)</f>
        <v>0</v>
      </c>
      <c r="T31" s="8">
        <f>IF(OR(AND(Aspects[[#This Row],[Min stats]]&lt;=35,Aspects[[#This Row],[Loyauté]]&lt;&gt;"Loyal"),AND(Aspects[[#This Row],[Min stats]]&lt;=25,Aspects[[#This Row],[Loyauté]]="Loyal")),1,0)</f>
        <v>1</v>
      </c>
      <c r="U31" s="8">
        <f>IF(Aspects[[#This Row],[Max stats]]&gt;=43,1,0)</f>
        <v>1</v>
      </c>
      <c r="V31" s="8">
        <f>IF(OR(AND(Aspects[[#This Row],[Range stats]]&gt;=15,Aspects[[#This Row],[Range stats]]&lt;=27,Aspects[[#This Row],[Loyauté]]&lt;&gt;"Loyal"),AND(Aspects[[#This Row],[Range stats]]&gt;=27,Aspects[[#This Row],[Range stats]]&lt;=40,Aspects[[#This Row],[Loyauté]]="Loyal")),1,0)</f>
        <v>1</v>
      </c>
      <c r="W31" s="9"/>
    </row>
    <row r="32" spans="1:23" x14ac:dyDescent="0.25">
      <c r="A32" s="1" t="s">
        <v>56</v>
      </c>
      <c r="B32" s="16" t="str">
        <f>Aspects[[#This Row],[Phy min]] &amp; " - " &amp; Aspects[[#This Row],[Phy max]]</f>
        <v>12 - 25</v>
      </c>
      <c r="C32" s="13">
        <v>12</v>
      </c>
      <c r="D32" s="13">
        <v>25</v>
      </c>
      <c r="E32" s="16" t="str">
        <f>Aspects[[#This Row],[Men min]] &amp; " - " &amp; Aspects[[#This Row],[Men max]]</f>
        <v>8 - 20</v>
      </c>
      <c r="F32" s="13">
        <v>8</v>
      </c>
      <c r="G32" s="13">
        <v>20</v>
      </c>
      <c r="H32" s="16" t="str">
        <f>Aspects[[#This Row],[Cha min]] &amp; " - " &amp; Aspects[[#This Row],[Cha max]]</f>
        <v>5 - 18</v>
      </c>
      <c r="I32" s="13">
        <v>5</v>
      </c>
      <c r="J32" s="13">
        <v>18</v>
      </c>
      <c r="K32" s="14">
        <f>Aspects[[#This Row],[Phy min]]+Aspects[[#This Row],[Men min]]+Aspects[[#This Row],[Cha min]]</f>
        <v>25</v>
      </c>
      <c r="L32" s="14">
        <f>Aspects[[#This Row],[Phy max]]+Aspects[[#This Row],[Men max]]+Aspects[[#This Row],[Cha max]]</f>
        <v>63</v>
      </c>
      <c r="M32" s="14">
        <f>MAX(Aspects[[#This Row],[Max stats]]-Aspects[[#This Row],[Min stats]],0)</f>
        <v>38</v>
      </c>
      <c r="N32" s="12">
        <f>ROUNDUP(AVERAGE(Aspects[[#This Row],[Phy min]:[Phy max]])*WPHYSIC+AVERAGE(Aspects[[#This Row],[Men min]:[Men max]])*WMENTAL+AVERAGE(Aspects[[#This Row],[Cha min]:[Cha max]])*WCHARAC,0)</f>
        <v>10</v>
      </c>
      <c r="O32" s="2" t="s">
        <v>39</v>
      </c>
      <c r="P32" s="1" t="s">
        <v>11</v>
      </c>
      <c r="Q32" s="10" t="str">
        <f>IFERROR(VLOOKUP(Aspects[[#This Row],[Alignement]],Alignement[],2,FALSE),"")</f>
        <v>Mauvais</v>
      </c>
      <c r="R32" s="10" t="str">
        <f>IFERROR(VLOOKUP(Aspects[[#This Row],[Alignement]],Alignement[],3,FALSE),"")</f>
        <v>Loyal</v>
      </c>
      <c r="S32" s="8">
        <f>IF(Aspects[[#This Row],[Men min]]&lt;8,0,1)</f>
        <v>1</v>
      </c>
      <c r="T32" s="8">
        <f>IF(OR(AND(Aspects[[#This Row],[Min stats]]&lt;=35,Aspects[[#This Row],[Loyauté]]&lt;&gt;"Loyal"),AND(Aspects[[#This Row],[Min stats]]&lt;=25,Aspects[[#This Row],[Loyauté]]="Loyal")),1,0)</f>
        <v>1</v>
      </c>
      <c r="U32" s="8">
        <f>IF(Aspects[[#This Row],[Max stats]]&gt;=43,1,0)</f>
        <v>1</v>
      </c>
      <c r="V32" s="8">
        <f>IF(OR(AND(Aspects[[#This Row],[Range stats]]&gt;=15,Aspects[[#This Row],[Range stats]]&lt;=27,Aspects[[#This Row],[Loyauté]]&lt;&gt;"Loyal"),AND(Aspects[[#This Row],[Range stats]]&gt;=27,Aspects[[#This Row],[Range stats]]&lt;=40,Aspects[[#This Row],[Loyauté]]="Loyal")),1,0)</f>
        <v>1</v>
      </c>
      <c r="W32" s="9"/>
    </row>
    <row r="33" spans="1:23" x14ac:dyDescent="0.25">
      <c r="A33" s="1" t="s">
        <v>55</v>
      </c>
      <c r="B33" s="16" t="str">
        <f>Aspects[[#This Row],[Phy min]] &amp; " - " &amp; Aspects[[#This Row],[Phy max]]</f>
        <v>18 - 25</v>
      </c>
      <c r="C33" s="13">
        <v>18</v>
      </c>
      <c r="D33" s="13">
        <v>25</v>
      </c>
      <c r="E33" s="16" t="str">
        <f>Aspects[[#This Row],[Men min]] &amp; " - " &amp; Aspects[[#This Row],[Men max]]</f>
        <v>12 - 20</v>
      </c>
      <c r="F33" s="13">
        <v>12</v>
      </c>
      <c r="G33" s="13">
        <v>20</v>
      </c>
      <c r="H33" s="16" t="str">
        <f>Aspects[[#This Row],[Cha min]] &amp; " - " &amp; Aspects[[#This Row],[Cha max]]</f>
        <v>0 - 8</v>
      </c>
      <c r="I33" s="13">
        <v>0</v>
      </c>
      <c r="J33" s="13">
        <v>8</v>
      </c>
      <c r="K33" s="14">
        <f>Aspects[[#This Row],[Phy min]]+Aspects[[#This Row],[Men min]]+Aspects[[#This Row],[Cha min]]</f>
        <v>30</v>
      </c>
      <c r="L33" s="14">
        <f>Aspects[[#This Row],[Phy max]]+Aspects[[#This Row],[Men max]]+Aspects[[#This Row],[Cha max]]</f>
        <v>53</v>
      </c>
      <c r="M33" s="14">
        <f>MAX(Aspects[[#This Row],[Max stats]]-Aspects[[#This Row],[Min stats]],0)</f>
        <v>23</v>
      </c>
      <c r="N33" s="12">
        <f>ROUNDUP(AVERAGE(Aspects[[#This Row],[Phy min]:[Phy max]])*WPHYSIC+AVERAGE(Aspects[[#This Row],[Men min]:[Men max]])*WMENTAL+AVERAGE(Aspects[[#This Row],[Cha min]:[Cha max]])*WCHARAC,0)</f>
        <v>8</v>
      </c>
      <c r="O33" s="2" t="s">
        <v>37</v>
      </c>
      <c r="P33" s="1" t="s">
        <v>5</v>
      </c>
      <c r="Q33" s="10" t="str">
        <f>IFERROR(VLOOKUP(Aspects[[#This Row],[Alignement]],Alignement[],2,FALSE),"")</f>
        <v>Neutre</v>
      </c>
      <c r="R33" s="10" t="str">
        <f>IFERROR(VLOOKUP(Aspects[[#This Row],[Alignement]],Alignement[],3,FALSE),"")</f>
        <v>Neutre</v>
      </c>
      <c r="S33" s="8">
        <f>IF(Aspects[[#This Row],[Men min]]&lt;8,0,1)</f>
        <v>1</v>
      </c>
      <c r="T33" s="8">
        <f>IF(OR(AND(Aspects[[#This Row],[Min stats]]&lt;=35,Aspects[[#This Row],[Loyauté]]&lt;&gt;"Loyal"),AND(Aspects[[#This Row],[Min stats]]&lt;=25,Aspects[[#This Row],[Loyauté]]="Loyal")),1,0)</f>
        <v>1</v>
      </c>
      <c r="U33" s="8">
        <f>IF(Aspects[[#This Row],[Max stats]]&gt;=43,1,0)</f>
        <v>1</v>
      </c>
      <c r="V33" s="8">
        <f>IF(OR(AND(Aspects[[#This Row],[Range stats]]&gt;=15,Aspects[[#This Row],[Range stats]]&lt;=27,Aspects[[#This Row],[Loyauté]]&lt;&gt;"Loyal"),AND(Aspects[[#This Row],[Range stats]]&gt;=27,Aspects[[#This Row],[Range stats]]&lt;=40,Aspects[[#This Row],[Loyauté]]="Loyal")),1,0)</f>
        <v>1</v>
      </c>
      <c r="W33" s="9"/>
    </row>
    <row r="34" spans="1:23" x14ac:dyDescent="0.25">
      <c r="A34" s="1" t="s">
        <v>84</v>
      </c>
      <c r="B34" s="16" t="str">
        <f>Aspects[[#This Row],[Phy min]] &amp; " - " &amp; Aspects[[#This Row],[Phy max]]</f>
        <v>8 - 18</v>
      </c>
      <c r="C34" s="13">
        <v>8</v>
      </c>
      <c r="D34" s="13">
        <v>18</v>
      </c>
      <c r="E34" s="16" t="str">
        <f>Aspects[[#This Row],[Men min]] &amp; " - " &amp; Aspects[[#This Row],[Men max]]</f>
        <v>8 - 18</v>
      </c>
      <c r="F34" s="13">
        <v>8</v>
      </c>
      <c r="G34" s="13">
        <v>18</v>
      </c>
      <c r="H34" s="16" t="str">
        <f>Aspects[[#This Row],[Cha min]] &amp; " - " &amp; Aspects[[#This Row],[Cha max]]</f>
        <v>5 - 12</v>
      </c>
      <c r="I34" s="13">
        <v>5</v>
      </c>
      <c r="J34" s="13">
        <v>12</v>
      </c>
      <c r="K34" s="14">
        <f>Aspects[[#This Row],[Phy min]]+Aspects[[#This Row],[Men min]]+Aspects[[#This Row],[Cha min]]</f>
        <v>21</v>
      </c>
      <c r="L34" s="14">
        <f>Aspects[[#This Row],[Phy max]]+Aspects[[#This Row],[Men max]]+Aspects[[#This Row],[Cha max]]</f>
        <v>48</v>
      </c>
      <c r="M34" s="14">
        <f>MAX(Aspects[[#This Row],[Max stats]]-Aspects[[#This Row],[Min stats]],0)</f>
        <v>27</v>
      </c>
      <c r="N34" s="12">
        <f>ROUNDUP(AVERAGE(Aspects[[#This Row],[Phy min]:[Phy max]])*WPHYSIC+AVERAGE(Aspects[[#This Row],[Men min]:[Men max]])*WMENTAL+AVERAGE(Aspects[[#This Row],[Cha min]:[Cha max]])*WCHARAC,0)</f>
        <v>8</v>
      </c>
      <c r="O34" s="2" t="s">
        <v>41</v>
      </c>
      <c r="P34" s="1" t="s">
        <v>5</v>
      </c>
      <c r="Q34" s="10" t="str">
        <f>IFERROR(VLOOKUP(Aspects[[#This Row],[Alignement]],Alignement[],2,FALSE),"")</f>
        <v>Neutre</v>
      </c>
      <c r="R34" s="10" t="str">
        <f>IFERROR(VLOOKUP(Aspects[[#This Row],[Alignement]],Alignement[],3,FALSE),"")</f>
        <v>Neutre</v>
      </c>
      <c r="S34" s="8">
        <v>0</v>
      </c>
      <c r="T34" s="8">
        <f>IF(OR(AND(Aspects[[#This Row],[Min stats]]&lt;=35,Aspects[[#This Row],[Loyauté]]&lt;&gt;"Loyal"),AND(Aspects[[#This Row],[Min stats]]&lt;=25,Aspects[[#This Row],[Loyauté]]="Loyal")),1,0)</f>
        <v>1</v>
      </c>
      <c r="U34" s="8">
        <f>IF(Aspects[[#This Row],[Max stats]]&gt;=43,1,0)</f>
        <v>1</v>
      </c>
      <c r="V34" s="8">
        <f>IF(OR(AND(Aspects[[#This Row],[Range stats]]&gt;=15,Aspects[[#This Row],[Range stats]]&lt;=27,Aspects[[#This Row],[Loyauté]]&lt;&gt;"Loyal"),AND(Aspects[[#This Row],[Range stats]]&gt;=27,Aspects[[#This Row],[Range stats]]&lt;=40,Aspects[[#This Row],[Loyauté]]="Loyal")),1,0)</f>
        <v>1</v>
      </c>
      <c r="W34" s="9" t="s">
        <v>76</v>
      </c>
    </row>
    <row r="35" spans="1:23" x14ac:dyDescent="0.25">
      <c r="A35" s="1" t="s">
        <v>60</v>
      </c>
      <c r="B35" s="16" t="str">
        <f>Aspects[[#This Row],[Phy min]] &amp; " - " &amp; Aspects[[#This Row],[Phy max]]</f>
        <v>0 - 13</v>
      </c>
      <c r="C35" s="13">
        <v>0</v>
      </c>
      <c r="D35" s="13">
        <v>13</v>
      </c>
      <c r="E35" s="16" t="str">
        <f>Aspects[[#This Row],[Men min]] &amp; " - " &amp; Aspects[[#This Row],[Men max]]</f>
        <v>8 - 15</v>
      </c>
      <c r="F35" s="13">
        <v>8</v>
      </c>
      <c r="G35" s="13">
        <v>15</v>
      </c>
      <c r="H35" s="16" t="str">
        <f>Aspects[[#This Row],[Cha min]] &amp; " - " &amp; Aspects[[#This Row],[Cha max]]</f>
        <v>15 - 20</v>
      </c>
      <c r="I35" s="13">
        <v>15</v>
      </c>
      <c r="J35" s="13">
        <v>20</v>
      </c>
      <c r="K35" s="14">
        <f>Aspects[[#This Row],[Phy min]]+Aspects[[#This Row],[Men min]]+Aspects[[#This Row],[Cha min]]</f>
        <v>23</v>
      </c>
      <c r="L35" s="14">
        <f>Aspects[[#This Row],[Phy max]]+Aspects[[#This Row],[Men max]]+Aspects[[#This Row],[Cha max]]</f>
        <v>48</v>
      </c>
      <c r="M35" s="14">
        <f>MAX(Aspects[[#This Row],[Max stats]]-Aspects[[#This Row],[Min stats]],0)</f>
        <v>25</v>
      </c>
      <c r="N35" s="12">
        <f>ROUNDUP(AVERAGE(Aspects[[#This Row],[Phy min]:[Phy max]])*WPHYSIC+AVERAGE(Aspects[[#This Row],[Men min]:[Men max]])*WMENTAL+AVERAGE(Aspects[[#This Row],[Cha min]:[Cha max]])*WCHARAC,0)</f>
        <v>9</v>
      </c>
      <c r="O35" s="2" t="s">
        <v>43</v>
      </c>
      <c r="P35" s="1" t="s">
        <v>5</v>
      </c>
      <c r="Q35" s="10" t="str">
        <f>IFERROR(VLOOKUP(Aspects[[#This Row],[Alignement]],Alignement[],2,FALSE),"")</f>
        <v>Neutre</v>
      </c>
      <c r="R35" s="10" t="str">
        <f>IFERROR(VLOOKUP(Aspects[[#This Row],[Alignement]],Alignement[],3,FALSE),"")</f>
        <v>Neutre</v>
      </c>
      <c r="S35" s="8">
        <f>IF(Aspects[[#This Row],[Men min]]&lt;8,0,1)</f>
        <v>1</v>
      </c>
      <c r="T35" s="8">
        <f>IF(OR(AND(Aspects[[#This Row],[Min stats]]&lt;=35,Aspects[[#This Row],[Loyauté]]&lt;&gt;"Loyal"),AND(Aspects[[#This Row],[Min stats]]&lt;=25,Aspects[[#This Row],[Loyauté]]="Loyal")),1,0)</f>
        <v>1</v>
      </c>
      <c r="U35" s="8">
        <f>IF(Aspects[[#This Row],[Max stats]]&gt;=43,1,0)</f>
        <v>1</v>
      </c>
      <c r="V35" s="8">
        <f>IF(OR(AND(Aspects[[#This Row],[Range stats]]&gt;=15,Aspects[[#This Row],[Range stats]]&lt;=27,Aspects[[#This Row],[Loyauté]]&lt;&gt;"Loyal"),AND(Aspects[[#This Row],[Range stats]]&gt;=27,Aspects[[#This Row],[Range stats]]&lt;=40,Aspects[[#This Row],[Loyauté]]="Loyal")),1,0)</f>
        <v>1</v>
      </c>
      <c r="W35" s="9"/>
    </row>
    <row r="36" spans="1:23" x14ac:dyDescent="0.25">
      <c r="A36" s="1" t="s">
        <v>61</v>
      </c>
      <c r="B36" s="16" t="str">
        <f>Aspects[[#This Row],[Phy min]] &amp; " - " &amp; Aspects[[#This Row],[Phy max]]</f>
        <v>12 - 28</v>
      </c>
      <c r="C36" s="13">
        <v>12</v>
      </c>
      <c r="D36" s="13">
        <v>28</v>
      </c>
      <c r="E36" s="16" t="str">
        <f>Aspects[[#This Row],[Men min]] &amp; " - " &amp; Aspects[[#This Row],[Men max]]</f>
        <v>0 - 12</v>
      </c>
      <c r="F36" s="13">
        <v>0</v>
      </c>
      <c r="G36" s="13">
        <v>12</v>
      </c>
      <c r="H36" s="16" t="str">
        <f>Aspects[[#This Row],[Cha min]] &amp; " - " &amp; Aspects[[#This Row],[Cha max]]</f>
        <v>10 - 20</v>
      </c>
      <c r="I36" s="13">
        <v>10</v>
      </c>
      <c r="J36" s="13">
        <v>20</v>
      </c>
      <c r="K36" s="14">
        <f>Aspects[[#This Row],[Phy min]]+Aspects[[#This Row],[Men min]]+Aspects[[#This Row],[Cha min]]</f>
        <v>22</v>
      </c>
      <c r="L36" s="14">
        <f>Aspects[[#This Row],[Phy max]]+Aspects[[#This Row],[Men max]]+Aspects[[#This Row],[Cha max]]</f>
        <v>60</v>
      </c>
      <c r="M36" s="14">
        <f>MAX(Aspects[[#This Row],[Max stats]]-Aspects[[#This Row],[Min stats]],0)</f>
        <v>38</v>
      </c>
      <c r="N36" s="12">
        <f>ROUNDUP(AVERAGE(Aspects[[#This Row],[Phy min]:[Phy max]])*WPHYSIC+AVERAGE(Aspects[[#This Row],[Men min]:[Men max]])*WMENTAL+AVERAGE(Aspects[[#This Row],[Cha min]:[Cha max]])*WCHARAC,0)</f>
        <v>9</v>
      </c>
      <c r="O36" s="2" t="s">
        <v>37</v>
      </c>
      <c r="P36" s="1" t="s">
        <v>11</v>
      </c>
      <c r="Q36" s="10" t="str">
        <f>IFERROR(VLOOKUP(Aspects[[#This Row],[Alignement]],Alignement[],2,FALSE),"")</f>
        <v>Mauvais</v>
      </c>
      <c r="R36" s="10" t="str">
        <f>IFERROR(VLOOKUP(Aspects[[#This Row],[Alignement]],Alignement[],3,FALSE),"")</f>
        <v>Loyal</v>
      </c>
      <c r="S36" s="8">
        <f>IF(Aspects[[#This Row],[Men min]]&lt;8,0,1)</f>
        <v>0</v>
      </c>
      <c r="T36" s="8">
        <f>IF(OR(AND(Aspects[[#This Row],[Min stats]]&lt;=35,Aspects[[#This Row],[Loyauté]]&lt;&gt;"Loyal"),AND(Aspects[[#This Row],[Min stats]]&lt;=25,Aspects[[#This Row],[Loyauté]]="Loyal")),1,0)</f>
        <v>1</v>
      </c>
      <c r="U36" s="8">
        <f>IF(Aspects[[#This Row],[Max stats]]&gt;=43,1,0)</f>
        <v>1</v>
      </c>
      <c r="V36" s="8">
        <f>IF(OR(AND(Aspects[[#This Row],[Range stats]]&gt;=15,Aspects[[#This Row],[Range stats]]&lt;=27,Aspects[[#This Row],[Loyauté]]&lt;&gt;"Loyal"),AND(Aspects[[#This Row],[Range stats]]&gt;=27,Aspects[[#This Row],[Range stats]]&lt;=40,Aspects[[#This Row],[Loyauté]]="Loyal")),1,0)</f>
        <v>1</v>
      </c>
      <c r="W36" s="9"/>
    </row>
    <row r="37" spans="1:23" x14ac:dyDescent="0.25">
      <c r="A37" t="s">
        <v>45</v>
      </c>
      <c r="B37" s="16" t="str">
        <f>Aspects[[#This Row],[Phy min]] &amp; " - " &amp; Aspects[[#This Row],[Phy max]]</f>
        <v>8 - 18</v>
      </c>
      <c r="C37" s="13">
        <v>8</v>
      </c>
      <c r="D37" s="13">
        <v>18</v>
      </c>
      <c r="E37" s="16" t="str">
        <f>Aspects[[#This Row],[Men min]] &amp; " - " &amp; Aspects[[#This Row],[Men max]]</f>
        <v>10 - 18</v>
      </c>
      <c r="F37" s="13">
        <v>10</v>
      </c>
      <c r="G37" s="13">
        <v>18</v>
      </c>
      <c r="H37" s="16" t="str">
        <f>Aspects[[#This Row],[Cha min]] &amp; " - " &amp; Aspects[[#This Row],[Cha max]]</f>
        <v>12 - 20</v>
      </c>
      <c r="I37" s="13">
        <v>12</v>
      </c>
      <c r="J37" s="13">
        <v>20</v>
      </c>
      <c r="K37" s="14">
        <f>Aspects[[#This Row],[Phy min]]+Aspects[[#This Row],[Men min]]+Aspects[[#This Row],[Cha min]]</f>
        <v>30</v>
      </c>
      <c r="L37" s="14">
        <f>Aspects[[#This Row],[Phy max]]+Aspects[[#This Row],[Men max]]+Aspects[[#This Row],[Cha max]]</f>
        <v>56</v>
      </c>
      <c r="M37" s="14">
        <f>MAX(Aspects[[#This Row],[Max stats]]-Aspects[[#This Row],[Min stats]],0)</f>
        <v>26</v>
      </c>
      <c r="N37" s="12">
        <f>ROUNDUP(AVERAGE(Aspects[[#This Row],[Phy min]:[Phy max]])*WPHYSIC+AVERAGE(Aspects[[#This Row],[Men min]:[Men max]])*WMENTAL+AVERAGE(Aspects[[#This Row],[Cha min]:[Cha max]])*WCHARAC,0)</f>
        <v>10</v>
      </c>
      <c r="O37" s="2" t="s">
        <v>42</v>
      </c>
      <c r="P37" s="1" t="s">
        <v>4</v>
      </c>
      <c r="Q37" s="10" t="str">
        <f>IFERROR(VLOOKUP(Aspects[[#This Row],[Alignement]],Alignement[],2,FALSE),"")</f>
        <v>Neutre</v>
      </c>
      <c r="R37" s="10" t="str">
        <f>IFERROR(VLOOKUP(Aspects[[#This Row],[Alignement]],Alignement[],3,FALSE),"")</f>
        <v>Chaotique</v>
      </c>
      <c r="S37" s="8">
        <f>IF(Aspects[[#This Row],[Men min]]&lt;8,0,1)</f>
        <v>1</v>
      </c>
      <c r="T37" s="8">
        <f>IF(OR(AND(Aspects[[#This Row],[Min stats]]&lt;=35,Aspects[[#This Row],[Loyauté]]&lt;&gt;"Loyal"),AND(Aspects[[#This Row],[Min stats]]&lt;=25,Aspects[[#This Row],[Loyauté]]="Loyal")),1,0)</f>
        <v>1</v>
      </c>
      <c r="U37" s="8">
        <f>IF(Aspects[[#This Row],[Max stats]]&gt;=43,1,0)</f>
        <v>1</v>
      </c>
      <c r="V37" s="8">
        <f>IF(OR(AND(Aspects[[#This Row],[Range stats]]&gt;=15,Aspects[[#This Row],[Range stats]]&lt;=27,Aspects[[#This Row],[Loyauté]]&lt;&gt;"Loyal"),AND(Aspects[[#This Row],[Range stats]]&gt;=27,Aspects[[#This Row],[Range stats]]&lt;=40,Aspects[[#This Row],[Loyauté]]="Loyal")),1,0)</f>
        <v>1</v>
      </c>
      <c r="W37" s="9"/>
    </row>
  </sheetData>
  <phoneticPr fontId="2" type="noConversion"/>
  <conditionalFormatting sqref="S2:S37">
    <cfRule type="iconSet" priority="1">
      <iconSet iconSet="5Quarters" showValue="0">
        <cfvo type="percent" val="0"/>
        <cfvo type="num" val="1"/>
        <cfvo type="num" val="1"/>
        <cfvo type="num" val="1"/>
        <cfvo type="num" val="1"/>
      </iconSet>
    </cfRule>
  </conditionalFormatting>
  <conditionalFormatting sqref="T2:V37">
    <cfRule type="iconSet" priority="2">
      <iconSet showValue="0">
        <cfvo type="percent" val="0"/>
        <cfvo type="num" val="1"/>
        <cfvo type="num" val="1"/>
      </iconSet>
    </cfRule>
  </conditionalFormatting>
  <dataValidations count="1">
    <dataValidation type="list" allowBlank="1" showInputMessage="1" showErrorMessage="1" sqref="O2:O37" xr:uid="{A9E7DB20-FB37-4EA8-AAF6-122D29DBF46D}">
      <formula1>"Force,Dextérité,Résilience,Intelligence,Curiosité,Éloquence,Psyché"</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B0C54A-5B8D-4118-8C8F-ED0130624CA2}">
          <x14:formula1>
            <xm:f>Feuil2!$A$2:$A$10</xm:f>
          </x14:formula1>
          <xm:sqref>P2:P37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B602-C0FA-4B00-B548-6BC6470D5C4B}">
  <dimension ref="A1:K118"/>
  <sheetViews>
    <sheetView workbookViewId="0">
      <selection activeCell="H29" sqref="H29"/>
    </sheetView>
  </sheetViews>
  <sheetFormatPr baseColWidth="10" defaultRowHeight="15" x14ac:dyDescent="0.25"/>
  <cols>
    <col min="1" max="1" width="23.42578125" bestFit="1" customWidth="1"/>
    <col min="2" max="2" width="7.5703125" bestFit="1" customWidth="1"/>
    <col min="3" max="3" width="9.140625" bestFit="1" customWidth="1"/>
    <col min="4" max="4" width="10.7109375" bestFit="1" customWidth="1"/>
    <col min="5" max="5" width="7.42578125" bestFit="1" customWidth="1"/>
    <col min="6" max="6" width="13.28515625" bestFit="1" customWidth="1"/>
    <col min="7" max="7" width="6.140625" customWidth="1"/>
    <col min="8" max="8" width="10.85546875" bestFit="1" customWidth="1"/>
    <col min="9" max="9" width="11.85546875" bestFit="1" customWidth="1"/>
    <col min="10" max="10" width="16.28515625" bestFit="1" customWidth="1"/>
    <col min="11" max="11" width="255.7109375" bestFit="1" customWidth="1"/>
  </cols>
  <sheetData>
    <row r="1" spans="1:11" x14ac:dyDescent="0.25">
      <c r="A1" t="s">
        <v>85</v>
      </c>
      <c r="B1" t="s">
        <v>88</v>
      </c>
      <c r="C1" t="s">
        <v>86</v>
      </c>
      <c r="D1" t="s">
        <v>87</v>
      </c>
      <c r="E1" t="s">
        <v>117</v>
      </c>
      <c r="F1" t="s">
        <v>116</v>
      </c>
      <c r="G1" t="s">
        <v>123</v>
      </c>
      <c r="H1" t="s">
        <v>214</v>
      </c>
      <c r="I1" t="s">
        <v>150</v>
      </c>
      <c r="J1" t="s">
        <v>74</v>
      </c>
      <c r="K1" t="s">
        <v>162</v>
      </c>
    </row>
    <row r="2" spans="1:11" x14ac:dyDescent="0.25">
      <c r="A2" t="s">
        <v>118</v>
      </c>
      <c r="B2" s="55">
        <v>1</v>
      </c>
      <c r="C2" t="s">
        <v>113</v>
      </c>
      <c r="D2" t="s">
        <v>114</v>
      </c>
      <c r="E2" s="12">
        <v>3</v>
      </c>
      <c r="F2" s="12" t="s">
        <v>115</v>
      </c>
      <c r="G2" s="8">
        <v>0</v>
      </c>
      <c r="H2" s="8" t="s">
        <v>215</v>
      </c>
      <c r="I2" s="8" t="s">
        <v>149</v>
      </c>
      <c r="K2" s="20" t="s">
        <v>89</v>
      </c>
    </row>
    <row r="3" spans="1:11" x14ac:dyDescent="0.25">
      <c r="A3" t="s">
        <v>119</v>
      </c>
      <c r="B3" s="55">
        <v>1</v>
      </c>
      <c r="C3" t="s">
        <v>120</v>
      </c>
      <c r="D3" t="s">
        <v>114</v>
      </c>
      <c r="E3" s="12">
        <v>2</v>
      </c>
      <c r="F3" s="12" t="s">
        <v>115</v>
      </c>
      <c r="G3" s="8">
        <v>0</v>
      </c>
      <c r="H3" s="8" t="s">
        <v>216</v>
      </c>
      <c r="I3" s="8" t="s">
        <v>152</v>
      </c>
      <c r="K3" s="20" t="s">
        <v>90</v>
      </c>
    </row>
    <row r="4" spans="1:11" x14ac:dyDescent="0.25">
      <c r="A4" t="s">
        <v>121</v>
      </c>
      <c r="B4" s="55">
        <v>1</v>
      </c>
      <c r="C4" t="s">
        <v>113</v>
      </c>
      <c r="D4" t="s">
        <v>114</v>
      </c>
      <c r="E4" s="12">
        <v>6</v>
      </c>
      <c r="F4" s="12" t="s">
        <v>115</v>
      </c>
      <c r="G4" s="8">
        <v>0</v>
      </c>
      <c r="H4" s="8" t="s">
        <v>217</v>
      </c>
      <c r="I4" s="8" t="s">
        <v>149</v>
      </c>
      <c r="K4" s="20" t="s">
        <v>91</v>
      </c>
    </row>
    <row r="5" spans="1:11" x14ac:dyDescent="0.25">
      <c r="A5" t="s">
        <v>122</v>
      </c>
      <c r="B5" s="55">
        <v>1</v>
      </c>
      <c r="C5" t="s">
        <v>120</v>
      </c>
      <c r="D5" t="s">
        <v>114</v>
      </c>
      <c r="E5" s="12">
        <v>6</v>
      </c>
      <c r="F5" s="12" t="s">
        <v>115</v>
      </c>
      <c r="G5" s="8">
        <v>1</v>
      </c>
      <c r="H5" s="8" t="s">
        <v>218</v>
      </c>
      <c r="I5" s="8" t="s">
        <v>149</v>
      </c>
      <c r="K5" s="20" t="s">
        <v>92</v>
      </c>
    </row>
    <row r="6" spans="1:11" x14ac:dyDescent="0.25">
      <c r="A6" t="s">
        <v>124</v>
      </c>
      <c r="B6" s="55">
        <v>1</v>
      </c>
      <c r="C6" t="s">
        <v>120</v>
      </c>
      <c r="D6" t="s">
        <v>114</v>
      </c>
      <c r="E6" s="12">
        <v>3</v>
      </c>
      <c r="F6" s="12" t="s">
        <v>125</v>
      </c>
      <c r="G6" s="8">
        <v>0</v>
      </c>
      <c r="H6" s="8" t="s">
        <v>221</v>
      </c>
      <c r="I6" s="8" t="s">
        <v>151</v>
      </c>
      <c r="K6" s="20" t="s">
        <v>93</v>
      </c>
    </row>
    <row r="7" spans="1:11" x14ac:dyDescent="0.25">
      <c r="A7" s="19"/>
      <c r="B7" s="55">
        <v>1</v>
      </c>
      <c r="C7" t="s">
        <v>129</v>
      </c>
      <c r="D7" t="s">
        <v>114</v>
      </c>
      <c r="E7" s="12"/>
      <c r="F7" s="12" t="s">
        <v>130</v>
      </c>
      <c r="G7" s="8">
        <v>0</v>
      </c>
      <c r="H7" s="8"/>
      <c r="I7" s="8" t="s">
        <v>158</v>
      </c>
      <c r="J7" t="s">
        <v>128</v>
      </c>
      <c r="K7" s="20"/>
    </row>
    <row r="8" spans="1:11" x14ac:dyDescent="0.25">
      <c r="A8" t="s">
        <v>126</v>
      </c>
      <c r="B8" s="55">
        <v>1</v>
      </c>
      <c r="C8" t="s">
        <v>129</v>
      </c>
      <c r="D8" t="s">
        <v>131</v>
      </c>
      <c r="E8" s="12">
        <v>3</v>
      </c>
      <c r="F8" s="12" t="s">
        <v>130</v>
      </c>
      <c r="G8" s="8">
        <v>0</v>
      </c>
      <c r="H8" s="8" t="s">
        <v>218</v>
      </c>
      <c r="I8" s="8" t="s">
        <v>153</v>
      </c>
      <c r="K8" s="20" t="s">
        <v>94</v>
      </c>
    </row>
    <row r="9" spans="1:11" x14ac:dyDescent="0.25">
      <c r="A9" t="s">
        <v>127</v>
      </c>
      <c r="B9" s="55">
        <v>1</v>
      </c>
      <c r="C9" t="s">
        <v>113</v>
      </c>
      <c r="D9" t="s">
        <v>131</v>
      </c>
      <c r="E9" s="12">
        <v>3</v>
      </c>
      <c r="F9" s="12" t="s">
        <v>115</v>
      </c>
      <c r="G9" s="8">
        <v>0</v>
      </c>
      <c r="H9" s="8" t="s">
        <v>215</v>
      </c>
      <c r="I9" s="8" t="s">
        <v>149</v>
      </c>
      <c r="K9" s="20" t="s">
        <v>95</v>
      </c>
    </row>
    <row r="10" spans="1:11" x14ac:dyDescent="0.25">
      <c r="A10" s="19"/>
      <c r="B10" s="55">
        <v>1</v>
      </c>
      <c r="C10" t="s">
        <v>120</v>
      </c>
      <c r="D10" t="s">
        <v>131</v>
      </c>
      <c r="E10" s="12"/>
      <c r="F10" s="12" t="s">
        <v>115</v>
      </c>
      <c r="G10" s="8">
        <v>0</v>
      </c>
      <c r="H10" s="8"/>
      <c r="I10" s="8" t="s">
        <v>154</v>
      </c>
      <c r="J10" t="s">
        <v>128</v>
      </c>
      <c r="K10" s="20"/>
    </row>
    <row r="11" spans="1:11" x14ac:dyDescent="0.25">
      <c r="A11" s="19"/>
      <c r="B11" s="55">
        <v>1</v>
      </c>
      <c r="C11" t="s">
        <v>120</v>
      </c>
      <c r="D11" t="s">
        <v>131</v>
      </c>
      <c r="E11" s="12"/>
      <c r="F11" s="12" t="s">
        <v>115</v>
      </c>
      <c r="G11" s="8">
        <v>1</v>
      </c>
      <c r="H11" s="8"/>
      <c r="I11" s="8" t="s">
        <v>151</v>
      </c>
      <c r="J11" t="s">
        <v>128</v>
      </c>
      <c r="K11" s="20"/>
    </row>
    <row r="12" spans="1:11" x14ac:dyDescent="0.25">
      <c r="A12" s="19"/>
      <c r="B12" s="55">
        <v>1</v>
      </c>
      <c r="C12" t="s">
        <v>129</v>
      </c>
      <c r="D12" t="s">
        <v>131</v>
      </c>
      <c r="E12" s="12"/>
      <c r="F12" s="12" t="s">
        <v>115</v>
      </c>
      <c r="G12" s="8">
        <v>0</v>
      </c>
      <c r="H12" s="8"/>
      <c r="I12" s="8" t="s">
        <v>152</v>
      </c>
      <c r="J12" t="s">
        <v>128</v>
      </c>
      <c r="K12" s="20"/>
    </row>
    <row r="13" spans="1:11" x14ac:dyDescent="0.25">
      <c r="A13" s="19"/>
      <c r="B13" s="55">
        <v>1</v>
      </c>
      <c r="C13" t="s">
        <v>113</v>
      </c>
      <c r="D13" t="s">
        <v>131</v>
      </c>
      <c r="E13" s="12"/>
      <c r="F13" s="12" t="s">
        <v>115</v>
      </c>
      <c r="G13" s="8">
        <v>0</v>
      </c>
      <c r="H13" s="8"/>
      <c r="I13" s="8" t="s">
        <v>149</v>
      </c>
      <c r="J13" t="s">
        <v>128</v>
      </c>
      <c r="K13" s="20"/>
    </row>
    <row r="14" spans="1:11" x14ac:dyDescent="0.25">
      <c r="A14" t="s">
        <v>139</v>
      </c>
      <c r="B14" s="55">
        <v>1</v>
      </c>
      <c r="C14" t="s">
        <v>113</v>
      </c>
      <c r="D14" t="s">
        <v>132</v>
      </c>
      <c r="E14" s="12">
        <v>3</v>
      </c>
      <c r="F14" s="12" t="s">
        <v>115</v>
      </c>
      <c r="G14" s="8">
        <v>0</v>
      </c>
      <c r="H14" s="8" t="s">
        <v>215</v>
      </c>
      <c r="I14" s="8" t="s">
        <v>149</v>
      </c>
      <c r="K14" s="20" t="s">
        <v>96</v>
      </c>
    </row>
    <row r="15" spans="1:11" x14ac:dyDescent="0.25">
      <c r="A15" t="s">
        <v>140</v>
      </c>
      <c r="B15" s="55">
        <v>1</v>
      </c>
      <c r="C15" t="s">
        <v>120</v>
      </c>
      <c r="D15" t="s">
        <v>132</v>
      </c>
      <c r="E15" s="12">
        <v>2</v>
      </c>
      <c r="F15" s="12" t="s">
        <v>115</v>
      </c>
      <c r="G15" s="8">
        <v>0</v>
      </c>
      <c r="H15" s="8" t="s">
        <v>218</v>
      </c>
      <c r="I15" s="8" t="s">
        <v>154</v>
      </c>
      <c r="K15" s="20" t="s">
        <v>97</v>
      </c>
    </row>
    <row r="16" spans="1:11" x14ac:dyDescent="0.25">
      <c r="A16" t="s">
        <v>141</v>
      </c>
      <c r="B16" s="55">
        <v>1</v>
      </c>
      <c r="C16" t="s">
        <v>113</v>
      </c>
      <c r="D16" t="s">
        <v>132</v>
      </c>
      <c r="E16" s="12">
        <v>3</v>
      </c>
      <c r="F16" s="12" t="s">
        <v>115</v>
      </c>
      <c r="G16" s="8">
        <v>0</v>
      </c>
      <c r="H16" s="8" t="s">
        <v>215</v>
      </c>
      <c r="I16" s="8" t="s">
        <v>149</v>
      </c>
      <c r="K16" s="20" t="s">
        <v>98</v>
      </c>
    </row>
    <row r="17" spans="1:11" x14ac:dyDescent="0.25">
      <c r="A17" s="19"/>
      <c r="B17" s="55">
        <v>1</v>
      </c>
      <c r="C17" t="s">
        <v>129</v>
      </c>
      <c r="D17" t="s">
        <v>132</v>
      </c>
      <c r="E17" s="12"/>
      <c r="F17" s="12" t="s">
        <v>115</v>
      </c>
      <c r="G17" s="8">
        <v>0</v>
      </c>
      <c r="H17" s="8"/>
      <c r="I17" s="8" t="s">
        <v>155</v>
      </c>
      <c r="J17" t="s">
        <v>128</v>
      </c>
      <c r="K17" s="20"/>
    </row>
    <row r="18" spans="1:11" x14ac:dyDescent="0.25">
      <c r="A18" s="19"/>
      <c r="B18" s="55">
        <v>1</v>
      </c>
      <c r="C18" t="s">
        <v>129</v>
      </c>
      <c r="D18" t="s">
        <v>132</v>
      </c>
      <c r="E18" s="12"/>
      <c r="F18" s="12" t="s">
        <v>130</v>
      </c>
      <c r="G18" s="8">
        <v>0</v>
      </c>
      <c r="H18" s="8"/>
      <c r="I18" s="8" t="s">
        <v>154</v>
      </c>
      <c r="J18" t="s">
        <v>128</v>
      </c>
      <c r="K18" s="20"/>
    </row>
    <row r="19" spans="1:11" x14ac:dyDescent="0.25">
      <c r="A19" s="19"/>
      <c r="B19" s="55">
        <v>1</v>
      </c>
      <c r="C19" t="s">
        <v>129</v>
      </c>
      <c r="D19" t="s">
        <v>132</v>
      </c>
      <c r="E19" s="12"/>
      <c r="F19" s="12" t="s">
        <v>115</v>
      </c>
      <c r="G19" s="8">
        <v>0</v>
      </c>
      <c r="H19" s="8"/>
      <c r="I19" s="8" t="s">
        <v>149</v>
      </c>
      <c r="J19" t="s">
        <v>128</v>
      </c>
      <c r="K19" s="20"/>
    </row>
    <row r="20" spans="1:11" x14ac:dyDescent="0.25">
      <c r="A20" s="18" t="s">
        <v>142</v>
      </c>
      <c r="B20" s="55">
        <v>1</v>
      </c>
      <c r="C20" t="s">
        <v>113</v>
      </c>
      <c r="D20" t="s">
        <v>133</v>
      </c>
      <c r="E20" s="12">
        <v>2</v>
      </c>
      <c r="F20" s="12" t="s">
        <v>115</v>
      </c>
      <c r="G20" s="8">
        <v>0</v>
      </c>
      <c r="H20" s="8" t="s">
        <v>219</v>
      </c>
      <c r="I20" s="8" t="s">
        <v>149</v>
      </c>
      <c r="K20" s="20" t="s">
        <v>99</v>
      </c>
    </row>
    <row r="21" spans="1:11" x14ac:dyDescent="0.25">
      <c r="A21" s="18" t="s">
        <v>142</v>
      </c>
      <c r="B21" s="55">
        <v>1</v>
      </c>
      <c r="C21" t="s">
        <v>113</v>
      </c>
      <c r="D21" t="s">
        <v>133</v>
      </c>
      <c r="E21" s="12">
        <v>3</v>
      </c>
      <c r="F21" s="12" t="s">
        <v>115</v>
      </c>
      <c r="G21" s="8">
        <v>0</v>
      </c>
      <c r="H21" s="8" t="s">
        <v>219</v>
      </c>
      <c r="I21" s="8" t="s">
        <v>155</v>
      </c>
      <c r="K21" s="20" t="s">
        <v>163</v>
      </c>
    </row>
    <row r="22" spans="1:11" x14ac:dyDescent="0.25">
      <c r="A22" t="s">
        <v>143</v>
      </c>
      <c r="B22" s="55">
        <v>1</v>
      </c>
      <c r="C22" t="s">
        <v>120</v>
      </c>
      <c r="D22" t="s">
        <v>133</v>
      </c>
      <c r="E22" s="12">
        <v>3</v>
      </c>
      <c r="F22" s="12" t="s">
        <v>115</v>
      </c>
      <c r="G22" s="8">
        <v>1</v>
      </c>
      <c r="H22" s="8" t="s">
        <v>218</v>
      </c>
      <c r="I22" s="8" t="s">
        <v>153</v>
      </c>
      <c r="K22" s="20" t="s">
        <v>100</v>
      </c>
    </row>
    <row r="23" spans="1:11" x14ac:dyDescent="0.25">
      <c r="A23" s="18" t="s">
        <v>142</v>
      </c>
      <c r="B23" s="55">
        <v>1</v>
      </c>
      <c r="C23" t="s">
        <v>129</v>
      </c>
      <c r="D23" t="s">
        <v>133</v>
      </c>
      <c r="E23" s="12">
        <v>3</v>
      </c>
      <c r="F23" s="12" t="s">
        <v>130</v>
      </c>
      <c r="G23" s="8">
        <v>0</v>
      </c>
      <c r="H23" s="8" t="s">
        <v>218</v>
      </c>
      <c r="I23" s="8" t="s">
        <v>153</v>
      </c>
      <c r="K23" s="20" t="s">
        <v>101</v>
      </c>
    </row>
    <row r="24" spans="1:11" x14ac:dyDescent="0.25">
      <c r="A24" s="19"/>
      <c r="B24" s="55">
        <v>1</v>
      </c>
      <c r="C24" t="s">
        <v>120</v>
      </c>
      <c r="D24" t="s">
        <v>133</v>
      </c>
      <c r="E24" s="12"/>
      <c r="F24" s="12" t="s">
        <v>115</v>
      </c>
      <c r="G24" s="8">
        <v>0</v>
      </c>
      <c r="H24" s="8"/>
      <c r="I24" s="8" t="s">
        <v>158</v>
      </c>
      <c r="J24" t="s">
        <v>128</v>
      </c>
      <c r="K24" s="20"/>
    </row>
    <row r="25" spans="1:11" x14ac:dyDescent="0.25">
      <c r="A25" s="73" t="s">
        <v>236</v>
      </c>
      <c r="B25" s="55">
        <v>1</v>
      </c>
      <c r="C25" t="s">
        <v>120</v>
      </c>
      <c r="D25" t="s">
        <v>133</v>
      </c>
      <c r="E25" s="12"/>
      <c r="F25" s="12" t="s">
        <v>115</v>
      </c>
      <c r="G25" s="8">
        <v>0</v>
      </c>
      <c r="H25" s="8" t="s">
        <v>221</v>
      </c>
      <c r="I25" s="8" t="s">
        <v>151</v>
      </c>
      <c r="K25" s="20" t="s">
        <v>235</v>
      </c>
    </row>
    <row r="26" spans="1:11" x14ac:dyDescent="0.25">
      <c r="A26" t="s">
        <v>144</v>
      </c>
      <c r="B26" s="55">
        <v>1</v>
      </c>
      <c r="C26" t="s">
        <v>120</v>
      </c>
      <c r="D26" t="s">
        <v>134</v>
      </c>
      <c r="E26" s="12">
        <v>2</v>
      </c>
      <c r="F26" s="12" t="s">
        <v>115</v>
      </c>
      <c r="G26" s="8">
        <v>0</v>
      </c>
      <c r="H26" s="8" t="s">
        <v>218</v>
      </c>
      <c r="I26" s="8" t="s">
        <v>152</v>
      </c>
      <c r="K26" s="20" t="s">
        <v>102</v>
      </c>
    </row>
    <row r="27" spans="1:11" x14ac:dyDescent="0.25">
      <c r="A27" t="s">
        <v>145</v>
      </c>
      <c r="B27" s="55">
        <v>1</v>
      </c>
      <c r="C27" t="s">
        <v>120</v>
      </c>
      <c r="D27" t="s">
        <v>134</v>
      </c>
      <c r="E27" s="12">
        <v>5</v>
      </c>
      <c r="F27" s="12" t="s">
        <v>115</v>
      </c>
      <c r="G27" s="8">
        <v>0</v>
      </c>
      <c r="H27" s="8" t="s">
        <v>219</v>
      </c>
      <c r="I27" s="8" t="s">
        <v>149</v>
      </c>
      <c r="K27" s="20" t="s">
        <v>103</v>
      </c>
    </row>
    <row r="28" spans="1:11" x14ac:dyDescent="0.25">
      <c r="A28" s="73" t="s">
        <v>231</v>
      </c>
      <c r="B28" s="55">
        <v>1</v>
      </c>
      <c r="C28" t="s">
        <v>120</v>
      </c>
      <c r="D28" t="s">
        <v>134</v>
      </c>
      <c r="E28" s="12">
        <v>2</v>
      </c>
      <c r="F28" s="12" t="s">
        <v>115</v>
      </c>
      <c r="G28" s="8">
        <v>0</v>
      </c>
      <c r="H28" s="8" t="s">
        <v>221</v>
      </c>
      <c r="I28" s="8" t="s">
        <v>151</v>
      </c>
      <c r="K28" s="20" t="s">
        <v>233</v>
      </c>
    </row>
    <row r="29" spans="1:11" x14ac:dyDescent="0.25">
      <c r="A29" s="19"/>
      <c r="B29" s="55">
        <v>1</v>
      </c>
      <c r="C29" t="s">
        <v>129</v>
      </c>
      <c r="D29" t="s">
        <v>134</v>
      </c>
      <c r="E29" s="12"/>
      <c r="F29" s="12" t="s">
        <v>115</v>
      </c>
      <c r="G29" s="8">
        <v>0</v>
      </c>
      <c r="H29" s="8"/>
      <c r="I29" s="8" t="s">
        <v>152</v>
      </c>
      <c r="J29" t="s">
        <v>128</v>
      </c>
      <c r="K29" s="20"/>
    </row>
    <row r="30" spans="1:11" x14ac:dyDescent="0.25">
      <c r="A30" s="73" t="s">
        <v>232</v>
      </c>
      <c r="B30" s="55">
        <v>1</v>
      </c>
      <c r="C30" t="s">
        <v>120</v>
      </c>
      <c r="D30" t="s">
        <v>134</v>
      </c>
      <c r="E30" s="12">
        <v>3</v>
      </c>
      <c r="F30" s="12" t="s">
        <v>115</v>
      </c>
      <c r="G30" s="8">
        <v>1</v>
      </c>
      <c r="H30" s="8" t="s">
        <v>218</v>
      </c>
      <c r="I30" s="8" t="s">
        <v>151</v>
      </c>
      <c r="K30" s="20" t="s">
        <v>234</v>
      </c>
    </row>
    <row r="31" spans="1:11" x14ac:dyDescent="0.25">
      <c r="A31" s="19"/>
      <c r="B31" s="55">
        <v>1</v>
      </c>
      <c r="C31" t="s">
        <v>113</v>
      </c>
      <c r="D31" t="s">
        <v>134</v>
      </c>
      <c r="E31" s="12"/>
      <c r="F31" s="12" t="s">
        <v>115</v>
      </c>
      <c r="G31" s="8">
        <v>0</v>
      </c>
      <c r="H31" s="8"/>
      <c r="I31" s="8" t="s">
        <v>151</v>
      </c>
      <c r="J31" t="s">
        <v>128</v>
      </c>
      <c r="K31" s="20"/>
    </row>
    <row r="32" spans="1:11" x14ac:dyDescent="0.25">
      <c r="A32" s="19"/>
      <c r="B32" s="55">
        <v>1</v>
      </c>
      <c r="C32" t="s">
        <v>120</v>
      </c>
      <c r="D32" t="s">
        <v>134</v>
      </c>
      <c r="E32" s="12"/>
      <c r="F32" s="12" t="s">
        <v>115</v>
      </c>
      <c r="G32" s="8">
        <v>0</v>
      </c>
      <c r="H32" s="8"/>
      <c r="I32" s="8" t="s">
        <v>158</v>
      </c>
      <c r="J32" t="s">
        <v>128</v>
      </c>
      <c r="K32" s="20"/>
    </row>
    <row r="33" spans="1:11" x14ac:dyDescent="0.25">
      <c r="A33" t="s">
        <v>146</v>
      </c>
      <c r="B33" s="55">
        <v>1</v>
      </c>
      <c r="C33" t="s">
        <v>120</v>
      </c>
      <c r="D33" t="s">
        <v>135</v>
      </c>
      <c r="E33" s="12">
        <v>3</v>
      </c>
      <c r="F33" s="12" t="s">
        <v>115</v>
      </c>
      <c r="G33" s="8">
        <v>0</v>
      </c>
      <c r="H33" s="8" t="s">
        <v>215</v>
      </c>
      <c r="I33" s="8" t="s">
        <v>152</v>
      </c>
      <c r="K33" s="20" t="s">
        <v>104</v>
      </c>
    </row>
    <row r="34" spans="1:11" x14ac:dyDescent="0.25">
      <c r="A34" t="s">
        <v>147</v>
      </c>
      <c r="B34" s="55">
        <v>1</v>
      </c>
      <c r="C34" t="s">
        <v>113</v>
      </c>
      <c r="D34" t="s">
        <v>135</v>
      </c>
      <c r="E34" s="12">
        <v>5</v>
      </c>
      <c r="F34" s="12" t="s">
        <v>115</v>
      </c>
      <c r="G34" s="8">
        <v>0</v>
      </c>
      <c r="H34" s="8" t="s">
        <v>220</v>
      </c>
      <c r="I34" s="8" t="s">
        <v>154</v>
      </c>
      <c r="K34" s="20" t="s">
        <v>105</v>
      </c>
    </row>
    <row r="35" spans="1:11" x14ac:dyDescent="0.25">
      <c r="A35" t="s">
        <v>148</v>
      </c>
      <c r="B35" s="55">
        <v>1</v>
      </c>
      <c r="C35" t="s">
        <v>120</v>
      </c>
      <c r="D35" t="s">
        <v>135</v>
      </c>
      <c r="E35" s="12">
        <v>2</v>
      </c>
      <c r="F35" s="12" t="s">
        <v>115</v>
      </c>
      <c r="G35" s="8">
        <v>1</v>
      </c>
      <c r="H35" s="8" t="s">
        <v>221</v>
      </c>
      <c r="I35" s="8" t="s">
        <v>151</v>
      </c>
      <c r="K35" s="20" t="s">
        <v>106</v>
      </c>
    </row>
    <row r="36" spans="1:11" x14ac:dyDescent="0.25">
      <c r="A36" s="19"/>
      <c r="B36" s="55">
        <v>1</v>
      </c>
      <c r="C36" t="s">
        <v>113</v>
      </c>
      <c r="D36" t="s">
        <v>135</v>
      </c>
      <c r="E36" s="12"/>
      <c r="F36" s="12" t="s">
        <v>115</v>
      </c>
      <c r="G36" s="8">
        <v>0</v>
      </c>
      <c r="H36" s="8"/>
      <c r="I36" s="8" t="s">
        <v>152</v>
      </c>
      <c r="J36" t="s">
        <v>128</v>
      </c>
      <c r="K36" s="20"/>
    </row>
    <row r="37" spans="1:11" x14ac:dyDescent="0.25">
      <c r="A37" s="19"/>
      <c r="B37" s="55">
        <v>1</v>
      </c>
      <c r="C37" t="s">
        <v>113</v>
      </c>
      <c r="D37" t="s">
        <v>135</v>
      </c>
      <c r="E37" s="12"/>
      <c r="F37" s="12" t="s">
        <v>115</v>
      </c>
      <c r="G37" s="8">
        <v>0</v>
      </c>
      <c r="H37" s="8"/>
      <c r="I37" s="8" t="s">
        <v>149</v>
      </c>
      <c r="J37" t="s">
        <v>128</v>
      </c>
      <c r="K37" s="20"/>
    </row>
    <row r="38" spans="1:11" x14ac:dyDescent="0.25">
      <c r="A38" s="19"/>
      <c r="B38" s="55">
        <v>1</v>
      </c>
      <c r="C38" t="s">
        <v>129</v>
      </c>
      <c r="D38" t="s">
        <v>135</v>
      </c>
      <c r="E38" s="12"/>
      <c r="F38" s="12" t="s">
        <v>115</v>
      </c>
      <c r="G38" s="8">
        <v>0</v>
      </c>
      <c r="H38" s="8"/>
      <c r="I38" s="8" t="s">
        <v>158</v>
      </c>
      <c r="J38" t="s">
        <v>128</v>
      </c>
      <c r="K38" s="20"/>
    </row>
    <row r="39" spans="1:11" x14ac:dyDescent="0.25">
      <c r="A39" t="s">
        <v>156</v>
      </c>
      <c r="B39" s="55">
        <v>1</v>
      </c>
      <c r="C39" t="s">
        <v>120</v>
      </c>
      <c r="D39" t="s">
        <v>137</v>
      </c>
      <c r="E39" s="12">
        <v>2</v>
      </c>
      <c r="F39" s="12" t="s">
        <v>157</v>
      </c>
      <c r="G39" s="8">
        <v>0</v>
      </c>
      <c r="H39" s="8" t="s">
        <v>221</v>
      </c>
      <c r="I39" s="8" t="s">
        <v>151</v>
      </c>
      <c r="K39" s="20" t="s">
        <v>107</v>
      </c>
    </row>
    <row r="40" spans="1:11" x14ac:dyDescent="0.25">
      <c r="A40" s="18" t="s">
        <v>142</v>
      </c>
      <c r="B40" s="55">
        <v>1</v>
      </c>
      <c r="C40" t="s">
        <v>129</v>
      </c>
      <c r="D40" t="s">
        <v>137</v>
      </c>
      <c r="E40" s="12">
        <v>3</v>
      </c>
      <c r="F40" s="12" t="s">
        <v>115</v>
      </c>
      <c r="G40" s="8">
        <v>0</v>
      </c>
      <c r="H40" s="8" t="s">
        <v>221</v>
      </c>
      <c r="I40" s="8" t="s">
        <v>158</v>
      </c>
      <c r="K40" s="20" t="s">
        <v>108</v>
      </c>
    </row>
    <row r="41" spans="1:11" x14ac:dyDescent="0.25">
      <c r="A41" s="18" t="s">
        <v>142</v>
      </c>
      <c r="B41" s="55">
        <v>1</v>
      </c>
      <c r="C41" t="s">
        <v>113</v>
      </c>
      <c r="D41" t="s">
        <v>137</v>
      </c>
      <c r="E41" s="12">
        <v>3</v>
      </c>
      <c r="F41" s="12" t="s">
        <v>115</v>
      </c>
      <c r="G41" s="8">
        <v>0</v>
      </c>
      <c r="H41" s="8" t="s">
        <v>217</v>
      </c>
      <c r="I41" s="8" t="s">
        <v>149</v>
      </c>
      <c r="K41" s="20" t="s">
        <v>109</v>
      </c>
    </row>
    <row r="42" spans="1:11" x14ac:dyDescent="0.25">
      <c r="A42" s="19"/>
      <c r="B42" s="55">
        <v>1</v>
      </c>
      <c r="C42" t="s">
        <v>120</v>
      </c>
      <c r="D42" t="s">
        <v>137</v>
      </c>
      <c r="E42" s="12"/>
      <c r="F42" s="12"/>
      <c r="G42" s="8">
        <v>0</v>
      </c>
      <c r="H42" s="8"/>
      <c r="I42" s="8" t="s">
        <v>158</v>
      </c>
      <c r="J42" t="s">
        <v>128</v>
      </c>
      <c r="K42" s="20"/>
    </row>
    <row r="43" spans="1:11" x14ac:dyDescent="0.25">
      <c r="A43" t="s">
        <v>159</v>
      </c>
      <c r="B43" s="55">
        <v>1</v>
      </c>
      <c r="C43" t="s">
        <v>120</v>
      </c>
      <c r="D43" t="s">
        <v>136</v>
      </c>
      <c r="E43" s="12">
        <v>3</v>
      </c>
      <c r="F43" s="12" t="s">
        <v>115</v>
      </c>
      <c r="G43" s="8">
        <v>1</v>
      </c>
      <c r="H43" s="8" t="s">
        <v>217</v>
      </c>
      <c r="I43" s="8" t="s">
        <v>158</v>
      </c>
      <c r="K43" s="20" t="s">
        <v>110</v>
      </c>
    </row>
    <row r="44" spans="1:11" x14ac:dyDescent="0.25">
      <c r="A44" t="s">
        <v>160</v>
      </c>
      <c r="B44" s="55">
        <v>1</v>
      </c>
      <c r="C44" t="s">
        <v>120</v>
      </c>
      <c r="D44" t="s">
        <v>136</v>
      </c>
      <c r="E44" s="12">
        <v>2</v>
      </c>
      <c r="F44" s="12" t="s">
        <v>115</v>
      </c>
      <c r="G44" s="8">
        <v>0</v>
      </c>
      <c r="H44" s="8" t="s">
        <v>219</v>
      </c>
      <c r="I44" s="8" t="s">
        <v>151</v>
      </c>
      <c r="K44" s="20" t="s">
        <v>164</v>
      </c>
    </row>
    <row r="45" spans="1:11" x14ac:dyDescent="0.25">
      <c r="A45" t="s">
        <v>161</v>
      </c>
      <c r="B45" s="55">
        <v>1</v>
      </c>
      <c r="C45" t="s">
        <v>129</v>
      </c>
      <c r="D45" t="s">
        <v>136</v>
      </c>
      <c r="E45" s="12">
        <v>4</v>
      </c>
      <c r="F45" s="12" t="s">
        <v>115</v>
      </c>
      <c r="G45" s="8">
        <v>0</v>
      </c>
      <c r="H45" s="8" t="s">
        <v>218</v>
      </c>
      <c r="I45" s="8" t="s">
        <v>154</v>
      </c>
      <c r="K45" s="20" t="s">
        <v>111</v>
      </c>
    </row>
    <row r="46" spans="1:11" x14ac:dyDescent="0.25">
      <c r="A46" s="19"/>
      <c r="B46" s="55">
        <v>1</v>
      </c>
      <c r="C46" t="s">
        <v>113</v>
      </c>
      <c r="D46" t="s">
        <v>136</v>
      </c>
      <c r="E46" s="12"/>
      <c r="F46" s="12"/>
      <c r="G46" s="8">
        <v>0</v>
      </c>
      <c r="H46" s="8"/>
      <c r="I46" s="8" t="s">
        <v>155</v>
      </c>
      <c r="J46" t="s">
        <v>128</v>
      </c>
      <c r="K46" s="20"/>
    </row>
    <row r="47" spans="1:11" x14ac:dyDescent="0.25">
      <c r="A47" s="18" t="s">
        <v>142</v>
      </c>
      <c r="B47" s="55">
        <v>1</v>
      </c>
      <c r="C47" t="s">
        <v>129</v>
      </c>
      <c r="D47" t="s">
        <v>138</v>
      </c>
      <c r="E47" s="12">
        <v>6</v>
      </c>
      <c r="F47" s="12" t="s">
        <v>115</v>
      </c>
      <c r="G47" s="8">
        <v>0</v>
      </c>
      <c r="H47" s="8" t="s">
        <v>216</v>
      </c>
      <c r="I47" s="8" t="s">
        <v>155</v>
      </c>
      <c r="K47" s="20" t="s">
        <v>112</v>
      </c>
    </row>
    <row r="48" spans="1:11" x14ac:dyDescent="0.25">
      <c r="A48" s="19"/>
      <c r="B48" s="55">
        <v>1</v>
      </c>
      <c r="C48" t="s">
        <v>129</v>
      </c>
      <c r="D48" t="s">
        <v>138</v>
      </c>
      <c r="E48" s="12"/>
      <c r="F48" s="12"/>
      <c r="G48" s="8">
        <v>0</v>
      </c>
      <c r="H48" s="8"/>
      <c r="I48" s="8" t="s">
        <v>149</v>
      </c>
      <c r="J48" t="s">
        <v>128</v>
      </c>
      <c r="K48" s="20"/>
    </row>
    <row r="49" spans="1:11" x14ac:dyDescent="0.25">
      <c r="A49" s="19"/>
      <c r="B49" s="55">
        <v>1</v>
      </c>
      <c r="C49" t="s">
        <v>120</v>
      </c>
      <c r="D49" t="s">
        <v>138</v>
      </c>
      <c r="E49" s="12"/>
      <c r="F49" s="12"/>
      <c r="G49" s="8">
        <v>1</v>
      </c>
      <c r="H49" s="8"/>
      <c r="I49" s="8" t="s">
        <v>155</v>
      </c>
      <c r="J49" t="s">
        <v>128</v>
      </c>
      <c r="K49" s="20"/>
    </row>
    <row r="50" spans="1:11" x14ac:dyDescent="0.25">
      <c r="A50" t="s">
        <v>165</v>
      </c>
      <c r="B50" s="55">
        <v>2</v>
      </c>
      <c r="C50" t="s">
        <v>113</v>
      </c>
      <c r="D50" t="s">
        <v>114</v>
      </c>
      <c r="E50" s="12">
        <v>8</v>
      </c>
      <c r="F50" s="12" t="s">
        <v>115</v>
      </c>
      <c r="G50" s="8">
        <v>0</v>
      </c>
      <c r="H50" s="8" t="s">
        <v>220</v>
      </c>
      <c r="I50" s="8" t="s">
        <v>149</v>
      </c>
      <c r="K50" s="20" t="s">
        <v>223</v>
      </c>
    </row>
    <row r="51" spans="1:11" x14ac:dyDescent="0.25">
      <c r="A51" s="18" t="s">
        <v>142</v>
      </c>
      <c r="B51" s="55">
        <v>2</v>
      </c>
      <c r="C51" t="s">
        <v>120</v>
      </c>
      <c r="D51" t="s">
        <v>114</v>
      </c>
      <c r="E51" s="12">
        <v>6</v>
      </c>
      <c r="F51" s="12" t="s">
        <v>115</v>
      </c>
      <c r="G51" s="8">
        <v>1</v>
      </c>
      <c r="H51" s="8" t="s">
        <v>218</v>
      </c>
      <c r="I51" s="8" t="s">
        <v>149</v>
      </c>
      <c r="K51" s="20" t="s">
        <v>213</v>
      </c>
    </row>
    <row r="52" spans="1:11" x14ac:dyDescent="0.25">
      <c r="A52" s="19"/>
      <c r="B52" s="55">
        <v>2</v>
      </c>
      <c r="D52" t="s">
        <v>114</v>
      </c>
      <c r="E52" s="12"/>
      <c r="F52" s="12"/>
      <c r="G52" s="8">
        <v>0</v>
      </c>
      <c r="H52" s="8"/>
      <c r="I52" s="8" t="s">
        <v>155</v>
      </c>
      <c r="J52" t="s">
        <v>128</v>
      </c>
      <c r="K52" s="20"/>
    </row>
    <row r="53" spans="1:11" x14ac:dyDescent="0.25">
      <c r="A53" s="19"/>
      <c r="B53" s="55">
        <v>2</v>
      </c>
      <c r="D53" t="s">
        <v>114</v>
      </c>
      <c r="E53" s="12"/>
      <c r="F53" s="12"/>
      <c r="G53" s="8">
        <v>0</v>
      </c>
      <c r="H53" s="8"/>
      <c r="I53" s="8" t="s">
        <v>151</v>
      </c>
      <c r="J53" t="s">
        <v>128</v>
      </c>
      <c r="K53" s="20"/>
    </row>
    <row r="54" spans="1:11" x14ac:dyDescent="0.25">
      <c r="A54" s="19"/>
      <c r="B54" s="55">
        <v>2</v>
      </c>
      <c r="D54" t="s">
        <v>114</v>
      </c>
      <c r="E54" s="12"/>
      <c r="F54" s="12"/>
      <c r="G54" s="8">
        <v>0</v>
      </c>
      <c r="H54" s="8"/>
      <c r="I54" s="8" t="s">
        <v>158</v>
      </c>
      <c r="J54" t="s">
        <v>128</v>
      </c>
      <c r="K54" s="20"/>
    </row>
    <row r="55" spans="1:11" x14ac:dyDescent="0.25">
      <c r="A55" t="s">
        <v>167</v>
      </c>
      <c r="B55" s="55">
        <v>2</v>
      </c>
      <c r="C55" t="s">
        <v>120</v>
      </c>
      <c r="D55" t="s">
        <v>131</v>
      </c>
      <c r="E55" s="12">
        <v>3</v>
      </c>
      <c r="F55" s="12" t="s">
        <v>115</v>
      </c>
      <c r="G55" s="8">
        <v>0</v>
      </c>
      <c r="H55" s="8" t="s">
        <v>221</v>
      </c>
      <c r="I55" s="8" t="s">
        <v>152</v>
      </c>
      <c r="K55" s="20" t="s">
        <v>166</v>
      </c>
    </row>
    <row r="56" spans="1:11" x14ac:dyDescent="0.25">
      <c r="A56" t="s">
        <v>168</v>
      </c>
      <c r="B56" s="55">
        <v>2</v>
      </c>
      <c r="C56" t="s">
        <v>113</v>
      </c>
      <c r="D56" t="s">
        <v>131</v>
      </c>
      <c r="E56" s="12">
        <v>8</v>
      </c>
      <c r="F56" s="12" t="s">
        <v>115</v>
      </c>
      <c r="G56" s="8">
        <v>0</v>
      </c>
      <c r="H56" s="8" t="s">
        <v>215</v>
      </c>
      <c r="I56" s="8" t="s">
        <v>149</v>
      </c>
      <c r="K56" s="20" t="s">
        <v>224</v>
      </c>
    </row>
    <row r="57" spans="1:11" x14ac:dyDescent="0.25">
      <c r="A57" s="18" t="s">
        <v>142</v>
      </c>
      <c r="B57" s="55">
        <v>2</v>
      </c>
      <c r="C57" t="s">
        <v>129</v>
      </c>
      <c r="D57" t="s">
        <v>131</v>
      </c>
      <c r="E57" s="12">
        <v>5</v>
      </c>
      <c r="F57" s="12" t="s">
        <v>115</v>
      </c>
      <c r="G57" s="8">
        <v>0</v>
      </c>
      <c r="H57" s="8" t="s">
        <v>216</v>
      </c>
      <c r="I57" s="8" t="s">
        <v>155</v>
      </c>
      <c r="J57" t="s">
        <v>128</v>
      </c>
      <c r="K57" s="20" t="s">
        <v>230</v>
      </c>
    </row>
    <row r="58" spans="1:11" x14ac:dyDescent="0.25">
      <c r="A58" s="19"/>
      <c r="B58" s="55">
        <v>2</v>
      </c>
      <c r="D58" t="s">
        <v>131</v>
      </c>
      <c r="E58" s="12"/>
      <c r="F58" s="12"/>
      <c r="G58" s="8">
        <v>0</v>
      </c>
      <c r="H58" s="8"/>
      <c r="I58" s="8" t="s">
        <v>153</v>
      </c>
      <c r="J58" t="s">
        <v>128</v>
      </c>
      <c r="K58" s="20"/>
    </row>
    <row r="59" spans="1:11" x14ac:dyDescent="0.25">
      <c r="A59" s="73" t="s">
        <v>228</v>
      </c>
      <c r="B59" s="55">
        <v>2</v>
      </c>
      <c r="C59" t="s">
        <v>120</v>
      </c>
      <c r="D59" t="s">
        <v>131</v>
      </c>
      <c r="E59" s="12">
        <v>6</v>
      </c>
      <c r="F59" s="12" t="s">
        <v>115</v>
      </c>
      <c r="G59" s="8">
        <v>0</v>
      </c>
      <c r="H59" s="8" t="s">
        <v>215</v>
      </c>
      <c r="I59" s="8" t="s">
        <v>149</v>
      </c>
      <c r="K59" s="20" t="s">
        <v>229</v>
      </c>
    </row>
    <row r="60" spans="1:11" x14ac:dyDescent="0.25">
      <c r="A60" t="s">
        <v>170</v>
      </c>
      <c r="B60" s="55">
        <v>2</v>
      </c>
      <c r="C60" t="s">
        <v>129</v>
      </c>
      <c r="D60" t="s">
        <v>132</v>
      </c>
      <c r="E60" s="12">
        <v>4</v>
      </c>
      <c r="F60" s="12" t="s">
        <v>115</v>
      </c>
      <c r="G60" s="8">
        <v>0</v>
      </c>
      <c r="H60" s="8" t="s">
        <v>218</v>
      </c>
      <c r="I60" s="8" t="s">
        <v>154</v>
      </c>
      <c r="K60" s="20" t="s">
        <v>169</v>
      </c>
    </row>
    <row r="61" spans="1:11" x14ac:dyDescent="0.25">
      <c r="A61" t="s">
        <v>171</v>
      </c>
      <c r="B61" s="55">
        <v>2</v>
      </c>
      <c r="C61" t="s">
        <v>113</v>
      </c>
      <c r="D61" t="s">
        <v>132</v>
      </c>
      <c r="E61" s="12">
        <v>8</v>
      </c>
      <c r="F61" s="12" t="s">
        <v>115</v>
      </c>
      <c r="G61" s="8">
        <v>0</v>
      </c>
      <c r="H61" s="8" t="s">
        <v>218</v>
      </c>
      <c r="I61" s="8" t="s">
        <v>149</v>
      </c>
      <c r="K61" s="20" t="s">
        <v>222</v>
      </c>
    </row>
    <row r="62" spans="1:11" x14ac:dyDescent="0.25">
      <c r="A62" s="19"/>
      <c r="B62" s="55">
        <v>2</v>
      </c>
      <c r="D62" t="s">
        <v>132</v>
      </c>
      <c r="E62" s="12"/>
      <c r="F62" s="12"/>
      <c r="G62" s="8">
        <v>0</v>
      </c>
      <c r="H62" s="8"/>
      <c r="I62" s="8" t="s">
        <v>152</v>
      </c>
      <c r="J62" t="s">
        <v>128</v>
      </c>
      <c r="K62" s="20"/>
    </row>
    <row r="63" spans="1:11" x14ac:dyDescent="0.25">
      <c r="A63" s="19"/>
      <c r="B63" s="55">
        <v>2</v>
      </c>
      <c r="D63" t="s">
        <v>132</v>
      </c>
      <c r="E63" s="12"/>
      <c r="F63" s="12"/>
      <c r="G63" s="8">
        <v>0</v>
      </c>
      <c r="H63" s="8"/>
      <c r="I63" s="8" t="s">
        <v>155</v>
      </c>
      <c r="J63" t="s">
        <v>128</v>
      </c>
      <c r="K63" s="20"/>
    </row>
    <row r="64" spans="1:11" x14ac:dyDescent="0.25">
      <c r="A64" s="19"/>
      <c r="B64" s="55">
        <v>2</v>
      </c>
      <c r="D64" t="s">
        <v>132</v>
      </c>
      <c r="E64" s="12"/>
      <c r="F64" s="12"/>
      <c r="G64" s="8">
        <v>0</v>
      </c>
      <c r="H64" s="8"/>
      <c r="I64" s="8" t="s">
        <v>149</v>
      </c>
      <c r="J64" t="s">
        <v>128</v>
      </c>
      <c r="K64" s="20"/>
    </row>
    <row r="65" spans="1:11" x14ac:dyDescent="0.25">
      <c r="A65" s="18" t="s">
        <v>142</v>
      </c>
      <c r="B65" s="55">
        <v>2</v>
      </c>
      <c r="C65" t="s">
        <v>120</v>
      </c>
      <c r="D65" t="s">
        <v>133</v>
      </c>
      <c r="E65" s="12">
        <v>5</v>
      </c>
      <c r="F65" s="12" t="s">
        <v>115</v>
      </c>
      <c r="G65" s="8">
        <v>1</v>
      </c>
      <c r="H65" s="8" t="s">
        <v>219</v>
      </c>
      <c r="I65" s="8" t="s">
        <v>158</v>
      </c>
      <c r="K65" s="20" t="s">
        <v>173</v>
      </c>
    </row>
    <row r="66" spans="1:11" x14ac:dyDescent="0.25">
      <c r="A66" s="18" t="s">
        <v>142</v>
      </c>
      <c r="B66" s="55">
        <v>2</v>
      </c>
      <c r="C66" t="s">
        <v>113</v>
      </c>
      <c r="D66" t="s">
        <v>133</v>
      </c>
      <c r="E66" s="12">
        <v>4</v>
      </c>
      <c r="F66" s="12" t="s">
        <v>115</v>
      </c>
      <c r="G66" s="8">
        <v>0</v>
      </c>
      <c r="H66" s="8" t="s">
        <v>218</v>
      </c>
      <c r="I66" s="8" t="s">
        <v>152</v>
      </c>
      <c r="K66" s="20" t="s">
        <v>172</v>
      </c>
    </row>
    <row r="67" spans="1:11" x14ac:dyDescent="0.25">
      <c r="A67" s="19"/>
      <c r="B67" s="55">
        <v>2</v>
      </c>
      <c r="D67" t="s">
        <v>133</v>
      </c>
      <c r="E67" s="12"/>
      <c r="F67" s="12"/>
      <c r="G67" s="8">
        <v>0</v>
      </c>
      <c r="H67" s="8"/>
      <c r="I67" s="8" t="s">
        <v>149</v>
      </c>
      <c r="J67" t="s">
        <v>128</v>
      </c>
      <c r="K67" s="20"/>
    </row>
    <row r="68" spans="1:11" x14ac:dyDescent="0.25">
      <c r="A68" s="19"/>
      <c r="B68" s="55">
        <v>2</v>
      </c>
      <c r="D68" t="s">
        <v>133</v>
      </c>
      <c r="E68" s="12"/>
      <c r="F68" s="12"/>
      <c r="G68" s="8">
        <v>0</v>
      </c>
      <c r="H68" s="8"/>
      <c r="I68" s="8"/>
      <c r="J68" t="s">
        <v>128</v>
      </c>
      <c r="K68" s="20"/>
    </row>
    <row r="69" spans="1:11" x14ac:dyDescent="0.25">
      <c r="A69" s="19"/>
      <c r="B69" s="55">
        <v>2</v>
      </c>
      <c r="D69" t="s">
        <v>133</v>
      </c>
      <c r="E69" s="12"/>
      <c r="F69" s="12"/>
      <c r="G69" s="8">
        <v>0</v>
      </c>
      <c r="H69" s="8"/>
      <c r="I69" s="8"/>
      <c r="J69" t="s">
        <v>128</v>
      </c>
      <c r="K69" s="20"/>
    </row>
    <row r="70" spans="1:11" x14ac:dyDescent="0.25">
      <c r="A70" s="18" t="s">
        <v>142</v>
      </c>
      <c r="B70" s="55">
        <v>2</v>
      </c>
      <c r="C70" t="s">
        <v>129</v>
      </c>
      <c r="D70" t="s">
        <v>134</v>
      </c>
      <c r="E70" s="12">
        <v>5</v>
      </c>
      <c r="F70" s="12" t="s">
        <v>115</v>
      </c>
      <c r="G70" s="8">
        <v>0</v>
      </c>
      <c r="H70" s="8" t="s">
        <v>219</v>
      </c>
      <c r="I70" s="8" t="s">
        <v>155</v>
      </c>
      <c r="K70" s="20" t="s">
        <v>187</v>
      </c>
    </row>
    <row r="71" spans="1:11" x14ac:dyDescent="0.25">
      <c r="A71" s="21"/>
      <c r="B71" s="55">
        <v>2</v>
      </c>
      <c r="C71" t="s">
        <v>113</v>
      </c>
      <c r="D71" t="s">
        <v>134</v>
      </c>
      <c r="E71" s="12"/>
      <c r="F71" s="12"/>
      <c r="G71" s="8">
        <v>0</v>
      </c>
      <c r="H71" s="8"/>
      <c r="I71" s="8"/>
      <c r="J71" t="s">
        <v>174</v>
      </c>
      <c r="K71" s="20"/>
    </row>
    <row r="72" spans="1:11" x14ac:dyDescent="0.25">
      <c r="A72" t="s">
        <v>186</v>
      </c>
      <c r="B72" s="55">
        <v>2</v>
      </c>
      <c r="C72" t="s">
        <v>120</v>
      </c>
      <c r="D72" t="s">
        <v>134</v>
      </c>
      <c r="E72" s="12">
        <v>3</v>
      </c>
      <c r="F72" s="12" t="s">
        <v>115</v>
      </c>
      <c r="G72" s="8">
        <v>0</v>
      </c>
      <c r="H72" s="8" t="s">
        <v>218</v>
      </c>
      <c r="I72" s="8" t="s">
        <v>152</v>
      </c>
      <c r="K72" s="20" t="s">
        <v>175</v>
      </c>
    </row>
    <row r="73" spans="1:11" x14ac:dyDescent="0.25">
      <c r="A73" t="s">
        <v>185</v>
      </c>
      <c r="B73" s="55">
        <v>2</v>
      </c>
      <c r="C73" t="s">
        <v>120</v>
      </c>
      <c r="D73" t="s">
        <v>134</v>
      </c>
      <c r="E73" s="12">
        <v>4</v>
      </c>
      <c r="F73" s="12" t="s">
        <v>115</v>
      </c>
      <c r="G73" s="8">
        <v>0</v>
      </c>
      <c r="H73" s="8" t="s">
        <v>218</v>
      </c>
      <c r="I73" s="8" t="s">
        <v>152</v>
      </c>
      <c r="K73" s="20" t="s">
        <v>176</v>
      </c>
    </row>
    <row r="74" spans="1:11" x14ac:dyDescent="0.25">
      <c r="A74" s="19"/>
      <c r="B74" s="55">
        <v>2</v>
      </c>
      <c r="D74" t="s">
        <v>134</v>
      </c>
      <c r="E74" s="12"/>
      <c r="F74" s="12"/>
      <c r="G74" s="8">
        <v>0</v>
      </c>
      <c r="H74" s="8"/>
      <c r="I74" s="8" t="s">
        <v>149</v>
      </c>
      <c r="J74" t="s">
        <v>128</v>
      </c>
      <c r="K74" s="20"/>
    </row>
    <row r="75" spans="1:11" x14ac:dyDescent="0.25">
      <c r="A75" s="18" t="s">
        <v>142</v>
      </c>
      <c r="B75" s="55">
        <v>2</v>
      </c>
      <c r="C75" t="s">
        <v>120</v>
      </c>
      <c r="D75" t="s">
        <v>135</v>
      </c>
      <c r="E75" s="12">
        <v>7</v>
      </c>
      <c r="F75" s="12" t="s">
        <v>115</v>
      </c>
      <c r="G75" s="8">
        <v>1</v>
      </c>
      <c r="H75" s="8" t="s">
        <v>217</v>
      </c>
      <c r="I75" s="8" t="s">
        <v>155</v>
      </c>
      <c r="K75" s="20" t="s">
        <v>177</v>
      </c>
    </row>
    <row r="76" spans="1:11" x14ac:dyDescent="0.25">
      <c r="A76" s="18" t="s">
        <v>142</v>
      </c>
      <c r="B76" s="55">
        <v>2</v>
      </c>
      <c r="C76" t="s">
        <v>113</v>
      </c>
      <c r="D76" t="s">
        <v>135</v>
      </c>
      <c r="E76" s="12">
        <v>4</v>
      </c>
      <c r="F76" s="12" t="s">
        <v>115</v>
      </c>
      <c r="G76" s="8">
        <v>0</v>
      </c>
      <c r="H76" s="8" t="s">
        <v>216</v>
      </c>
      <c r="I76" s="8" t="s">
        <v>152</v>
      </c>
      <c r="K76" s="20" t="s">
        <v>178</v>
      </c>
    </row>
    <row r="77" spans="1:11" x14ac:dyDescent="0.25">
      <c r="A77" s="18" t="s">
        <v>142</v>
      </c>
      <c r="B77" s="55">
        <v>2</v>
      </c>
      <c r="C77" t="s">
        <v>113</v>
      </c>
      <c r="D77" t="s">
        <v>135</v>
      </c>
      <c r="E77" s="12">
        <v>5</v>
      </c>
      <c r="F77" s="12" t="s">
        <v>115</v>
      </c>
      <c r="G77" s="8">
        <v>0</v>
      </c>
      <c r="H77" s="8" t="s">
        <v>220</v>
      </c>
      <c r="I77" s="8" t="s">
        <v>154</v>
      </c>
      <c r="K77" s="20" t="s">
        <v>179</v>
      </c>
    </row>
    <row r="78" spans="1:11" x14ac:dyDescent="0.25">
      <c r="A78" s="18" t="s">
        <v>142</v>
      </c>
      <c r="B78" s="55">
        <v>2</v>
      </c>
      <c r="C78" t="s">
        <v>129</v>
      </c>
      <c r="D78" t="s">
        <v>135</v>
      </c>
      <c r="E78" s="12">
        <v>4</v>
      </c>
      <c r="F78" s="12" t="s">
        <v>130</v>
      </c>
      <c r="G78" s="8">
        <v>0</v>
      </c>
      <c r="H78" s="8" t="s">
        <v>218</v>
      </c>
      <c r="I78" s="8" t="s">
        <v>153</v>
      </c>
      <c r="K78" s="20" t="s">
        <v>180</v>
      </c>
    </row>
    <row r="79" spans="1:11" x14ac:dyDescent="0.25">
      <c r="A79" s="19"/>
      <c r="B79" s="55">
        <v>2</v>
      </c>
      <c r="D79" t="s">
        <v>135</v>
      </c>
      <c r="E79" s="12"/>
      <c r="F79" s="12"/>
      <c r="G79" s="8">
        <v>0</v>
      </c>
      <c r="H79" s="8"/>
      <c r="I79" s="8"/>
      <c r="J79" t="s">
        <v>128</v>
      </c>
      <c r="K79" s="20"/>
    </row>
    <row r="80" spans="1:11" x14ac:dyDescent="0.25">
      <c r="A80" s="18" t="s">
        <v>142</v>
      </c>
      <c r="B80" s="55">
        <v>2</v>
      </c>
      <c r="C80" t="s">
        <v>120</v>
      </c>
      <c r="D80" t="s">
        <v>137</v>
      </c>
      <c r="E80" s="12">
        <v>6</v>
      </c>
      <c r="F80" s="12" t="s">
        <v>115</v>
      </c>
      <c r="G80" s="8">
        <v>0</v>
      </c>
      <c r="H80" s="8" t="s">
        <v>216</v>
      </c>
      <c r="I80" s="8" t="s">
        <v>155</v>
      </c>
      <c r="K80" s="20" t="s">
        <v>225</v>
      </c>
    </row>
    <row r="81" spans="1:11" x14ac:dyDescent="0.25">
      <c r="A81" s="18" t="s">
        <v>142</v>
      </c>
      <c r="B81" s="55">
        <v>2</v>
      </c>
      <c r="C81" t="s">
        <v>129</v>
      </c>
      <c r="D81" t="s">
        <v>137</v>
      </c>
      <c r="E81" s="12">
        <v>5</v>
      </c>
      <c r="F81" s="12" t="s">
        <v>130</v>
      </c>
      <c r="G81" s="8">
        <v>0</v>
      </c>
      <c r="H81" s="8" t="s">
        <v>221</v>
      </c>
      <c r="I81" s="8" t="s">
        <v>158</v>
      </c>
      <c r="K81" s="20" t="s">
        <v>226</v>
      </c>
    </row>
    <row r="82" spans="1:11" x14ac:dyDescent="0.25">
      <c r="A82" s="19"/>
      <c r="B82" s="55">
        <v>2</v>
      </c>
      <c r="D82" t="s">
        <v>137</v>
      </c>
      <c r="E82" s="12"/>
      <c r="F82" s="12"/>
      <c r="G82" s="8">
        <v>0</v>
      </c>
      <c r="H82" s="8"/>
      <c r="I82" s="8"/>
      <c r="J82" t="s">
        <v>128</v>
      </c>
      <c r="K82" s="20"/>
    </row>
    <row r="83" spans="1:11" x14ac:dyDescent="0.25">
      <c r="A83" s="19"/>
      <c r="B83" s="55">
        <v>2</v>
      </c>
      <c r="D83" t="s">
        <v>137</v>
      </c>
      <c r="E83" s="12"/>
      <c r="F83" s="12"/>
      <c r="G83" s="8">
        <v>0</v>
      </c>
      <c r="H83" s="8"/>
      <c r="I83" s="8"/>
      <c r="J83" t="s">
        <v>128</v>
      </c>
      <c r="K83" s="20"/>
    </row>
    <row r="84" spans="1:11" x14ac:dyDescent="0.25">
      <c r="A84" s="18" t="s">
        <v>142</v>
      </c>
      <c r="B84" s="55">
        <v>2</v>
      </c>
      <c r="C84" t="s">
        <v>120</v>
      </c>
      <c r="D84" t="s">
        <v>136</v>
      </c>
      <c r="E84" s="12">
        <v>4</v>
      </c>
      <c r="F84" s="12" t="s">
        <v>115</v>
      </c>
      <c r="G84" s="8">
        <v>0</v>
      </c>
      <c r="H84" s="8" t="s">
        <v>218</v>
      </c>
      <c r="I84" s="8" t="s">
        <v>151</v>
      </c>
      <c r="K84" s="20" t="s">
        <v>181</v>
      </c>
    </row>
    <row r="85" spans="1:11" x14ac:dyDescent="0.25">
      <c r="A85" t="s">
        <v>184</v>
      </c>
      <c r="B85" s="55">
        <v>2</v>
      </c>
      <c r="C85" t="s">
        <v>120</v>
      </c>
      <c r="D85" t="s">
        <v>136</v>
      </c>
      <c r="E85" s="12">
        <v>5</v>
      </c>
      <c r="F85" s="12" t="s">
        <v>115</v>
      </c>
      <c r="G85" s="8">
        <v>1</v>
      </c>
      <c r="H85" s="8" t="s">
        <v>219</v>
      </c>
      <c r="I85" s="8" t="s">
        <v>149</v>
      </c>
      <c r="K85" s="20" t="s">
        <v>227</v>
      </c>
    </row>
    <row r="86" spans="1:11" x14ac:dyDescent="0.25">
      <c r="A86" s="19"/>
      <c r="B86" s="55">
        <v>2</v>
      </c>
      <c r="D86" t="s">
        <v>136</v>
      </c>
      <c r="E86" s="12"/>
      <c r="F86" s="12"/>
      <c r="G86" s="8">
        <v>0</v>
      </c>
      <c r="H86" s="8"/>
      <c r="I86" s="8"/>
      <c r="J86" t="s">
        <v>128</v>
      </c>
      <c r="K86" s="20"/>
    </row>
    <row r="87" spans="1:11" x14ac:dyDescent="0.25">
      <c r="A87" s="19"/>
      <c r="B87" s="55">
        <v>2</v>
      </c>
      <c r="D87" t="s">
        <v>136</v>
      </c>
      <c r="E87" s="12"/>
      <c r="F87" s="12"/>
      <c r="G87" s="8">
        <v>0</v>
      </c>
      <c r="H87" s="8"/>
      <c r="I87" s="8"/>
      <c r="J87" t="s">
        <v>128</v>
      </c>
      <c r="K87" s="20"/>
    </row>
    <row r="88" spans="1:11" x14ac:dyDescent="0.25">
      <c r="A88" t="s">
        <v>188</v>
      </c>
      <c r="B88" s="55">
        <v>2</v>
      </c>
      <c r="C88" t="s">
        <v>120</v>
      </c>
      <c r="D88" t="s">
        <v>138</v>
      </c>
      <c r="E88" s="12">
        <v>3</v>
      </c>
      <c r="F88" s="12" t="s">
        <v>115</v>
      </c>
      <c r="G88" s="8">
        <v>0</v>
      </c>
      <c r="H88" s="8" t="s">
        <v>218</v>
      </c>
      <c r="I88" s="8" t="s">
        <v>158</v>
      </c>
      <c r="K88" s="20" t="s">
        <v>211</v>
      </c>
    </row>
    <row r="89" spans="1:11" x14ac:dyDescent="0.25">
      <c r="A89" t="s">
        <v>189</v>
      </c>
      <c r="B89" s="55">
        <v>2</v>
      </c>
      <c r="C89" t="s">
        <v>129</v>
      </c>
      <c r="D89" t="s">
        <v>138</v>
      </c>
      <c r="E89" s="12">
        <v>6</v>
      </c>
      <c r="F89" s="12" t="s">
        <v>115</v>
      </c>
      <c r="G89" s="8">
        <v>0</v>
      </c>
      <c r="H89" s="8" t="s">
        <v>221</v>
      </c>
      <c r="I89" s="8" t="s">
        <v>155</v>
      </c>
      <c r="K89" s="20" t="s">
        <v>182</v>
      </c>
    </row>
    <row r="90" spans="1:11" x14ac:dyDescent="0.25">
      <c r="A90" t="s">
        <v>190</v>
      </c>
      <c r="B90" s="55">
        <v>2</v>
      </c>
      <c r="C90" t="s">
        <v>129</v>
      </c>
      <c r="D90" t="s">
        <v>138</v>
      </c>
      <c r="E90" s="12">
        <v>4</v>
      </c>
      <c r="F90" s="12" t="s">
        <v>130</v>
      </c>
      <c r="G90" s="8">
        <v>0</v>
      </c>
      <c r="H90" s="8" t="s">
        <v>221</v>
      </c>
      <c r="I90" s="8" t="s">
        <v>155</v>
      </c>
      <c r="K90" s="20" t="s">
        <v>183</v>
      </c>
    </row>
    <row r="91" spans="1:11" x14ac:dyDescent="0.25">
      <c r="A91" s="19"/>
      <c r="B91" s="55">
        <v>2</v>
      </c>
      <c r="D91" t="s">
        <v>138</v>
      </c>
      <c r="E91" s="12"/>
      <c r="F91" s="12"/>
      <c r="G91" s="8">
        <v>0</v>
      </c>
      <c r="H91" s="8"/>
      <c r="I91" s="8"/>
      <c r="J91" t="s">
        <v>128</v>
      </c>
      <c r="K91" s="20"/>
    </row>
    <row r="92" spans="1:11" x14ac:dyDescent="0.25">
      <c r="A92" s="19"/>
      <c r="B92" s="55">
        <v>3</v>
      </c>
      <c r="D92" t="s">
        <v>114</v>
      </c>
      <c r="E92" s="12"/>
      <c r="F92" s="12"/>
      <c r="G92" s="8">
        <v>0</v>
      </c>
      <c r="H92" s="8"/>
      <c r="I92" s="8" t="s">
        <v>152</v>
      </c>
      <c r="J92" t="s">
        <v>128</v>
      </c>
      <c r="K92" s="20"/>
    </row>
    <row r="93" spans="1:11" x14ac:dyDescent="0.25">
      <c r="A93" s="19"/>
      <c r="B93" s="55">
        <v>3</v>
      </c>
      <c r="D93" t="s">
        <v>114</v>
      </c>
      <c r="E93" s="12"/>
      <c r="F93" s="12"/>
      <c r="G93" s="8">
        <v>0</v>
      </c>
      <c r="H93" s="8"/>
      <c r="I93" s="8" t="s">
        <v>149</v>
      </c>
      <c r="J93" t="s">
        <v>128</v>
      </c>
      <c r="K93" s="20"/>
    </row>
    <row r="94" spans="1:11" x14ac:dyDescent="0.25">
      <c r="A94" t="s">
        <v>195</v>
      </c>
      <c r="B94" s="55">
        <v>3</v>
      </c>
      <c r="C94" t="s">
        <v>120</v>
      </c>
      <c r="D94" t="s">
        <v>114</v>
      </c>
      <c r="E94" s="12">
        <v>6</v>
      </c>
      <c r="F94" s="12" t="s">
        <v>115</v>
      </c>
      <c r="G94" s="8">
        <v>0</v>
      </c>
      <c r="H94" s="8" t="s">
        <v>217</v>
      </c>
      <c r="I94" s="8" t="s">
        <v>149</v>
      </c>
      <c r="J94" s="8"/>
      <c r="K94" s="20" t="s">
        <v>191</v>
      </c>
    </row>
    <row r="95" spans="1:11" x14ac:dyDescent="0.25">
      <c r="A95" s="19"/>
      <c r="B95" s="55">
        <v>3</v>
      </c>
      <c r="D95" t="s">
        <v>131</v>
      </c>
      <c r="E95" s="12"/>
      <c r="F95" s="12"/>
      <c r="G95" s="8">
        <v>0</v>
      </c>
      <c r="H95" s="8"/>
      <c r="I95" s="8"/>
      <c r="J95" t="s">
        <v>128</v>
      </c>
      <c r="K95" s="20"/>
    </row>
    <row r="96" spans="1:11" x14ac:dyDescent="0.25">
      <c r="A96" s="19"/>
      <c r="B96" s="55">
        <v>3</v>
      </c>
      <c r="D96" t="s">
        <v>131</v>
      </c>
      <c r="E96" s="12"/>
      <c r="F96" s="12"/>
      <c r="G96" s="8">
        <v>0</v>
      </c>
      <c r="H96" s="8"/>
      <c r="I96" s="8"/>
      <c r="J96" t="s">
        <v>128</v>
      </c>
      <c r="K96" s="20"/>
    </row>
    <row r="97" spans="1:11" x14ac:dyDescent="0.25">
      <c r="A97" t="s">
        <v>196</v>
      </c>
      <c r="B97" s="55">
        <v>3</v>
      </c>
      <c r="C97" t="s">
        <v>129</v>
      </c>
      <c r="D97" t="s">
        <v>131</v>
      </c>
      <c r="E97" s="12">
        <v>5</v>
      </c>
      <c r="F97" s="12" t="s">
        <v>115</v>
      </c>
      <c r="G97" s="8">
        <v>0</v>
      </c>
      <c r="H97" s="8" t="s">
        <v>219</v>
      </c>
      <c r="I97" s="8" t="s">
        <v>155</v>
      </c>
      <c r="J97" s="8"/>
      <c r="K97" s="20" t="s">
        <v>202</v>
      </c>
    </row>
    <row r="98" spans="1:11" x14ac:dyDescent="0.25">
      <c r="A98" s="19"/>
      <c r="B98" s="55">
        <v>3</v>
      </c>
      <c r="D98" t="s">
        <v>132</v>
      </c>
      <c r="E98" s="12"/>
      <c r="F98" s="12"/>
      <c r="G98" s="8">
        <v>0</v>
      </c>
      <c r="H98" s="8"/>
      <c r="I98" s="8"/>
      <c r="J98" t="s">
        <v>128</v>
      </c>
      <c r="K98" s="20"/>
    </row>
    <row r="99" spans="1:11" x14ac:dyDescent="0.25">
      <c r="A99" s="19"/>
      <c r="B99" s="55">
        <v>3</v>
      </c>
      <c r="D99" t="s">
        <v>132</v>
      </c>
      <c r="E99" s="12"/>
      <c r="F99" s="12"/>
      <c r="G99" s="8">
        <v>0</v>
      </c>
      <c r="H99" s="8"/>
      <c r="I99" s="8"/>
      <c r="J99" t="s">
        <v>128</v>
      </c>
      <c r="K99" s="20"/>
    </row>
    <row r="100" spans="1:11" x14ac:dyDescent="0.25">
      <c r="A100" t="s">
        <v>197</v>
      </c>
      <c r="B100" s="55">
        <v>3</v>
      </c>
      <c r="C100" t="s">
        <v>113</v>
      </c>
      <c r="D100" t="s">
        <v>132</v>
      </c>
      <c r="E100" s="12">
        <v>9</v>
      </c>
      <c r="F100" s="12" t="s">
        <v>115</v>
      </c>
      <c r="G100" s="8">
        <v>0</v>
      </c>
      <c r="H100" s="8" t="s">
        <v>215</v>
      </c>
      <c r="I100" s="8" t="s">
        <v>149</v>
      </c>
      <c r="J100" s="8"/>
      <c r="K100" s="20" t="s">
        <v>192</v>
      </c>
    </row>
    <row r="101" spans="1:11" x14ac:dyDescent="0.25">
      <c r="A101" s="19"/>
      <c r="B101" s="55">
        <v>3</v>
      </c>
      <c r="D101" t="s">
        <v>133</v>
      </c>
      <c r="E101" s="12"/>
      <c r="F101" s="12"/>
      <c r="G101" s="8">
        <v>0</v>
      </c>
      <c r="H101" s="8"/>
      <c r="I101" s="8"/>
      <c r="J101" t="s">
        <v>128</v>
      </c>
      <c r="K101" s="20"/>
    </row>
    <row r="102" spans="1:11" x14ac:dyDescent="0.25">
      <c r="A102" s="19"/>
      <c r="B102" s="55">
        <v>3</v>
      </c>
      <c r="D102" t="s">
        <v>133</v>
      </c>
      <c r="E102" s="12"/>
      <c r="F102" s="12"/>
      <c r="G102" s="8">
        <v>0</v>
      </c>
      <c r="H102" s="8"/>
      <c r="I102" s="8"/>
      <c r="J102" t="s">
        <v>128</v>
      </c>
      <c r="K102" s="20"/>
    </row>
    <row r="103" spans="1:11" x14ac:dyDescent="0.25">
      <c r="A103" t="s">
        <v>209</v>
      </c>
      <c r="B103" s="55">
        <v>3</v>
      </c>
      <c r="C103" t="s">
        <v>120</v>
      </c>
      <c r="D103" t="s">
        <v>133</v>
      </c>
      <c r="E103" s="12">
        <v>6</v>
      </c>
      <c r="F103" s="12" t="s">
        <v>115</v>
      </c>
      <c r="G103" s="8">
        <v>0</v>
      </c>
      <c r="H103" s="8" t="s">
        <v>218</v>
      </c>
      <c r="I103" s="8" t="s">
        <v>153</v>
      </c>
      <c r="K103" s="20" t="s">
        <v>210</v>
      </c>
    </row>
    <row r="104" spans="1:11" x14ac:dyDescent="0.25">
      <c r="A104" s="19"/>
      <c r="B104" s="55">
        <v>3</v>
      </c>
      <c r="D104" t="s">
        <v>134</v>
      </c>
      <c r="E104" s="12"/>
      <c r="F104" s="12"/>
      <c r="G104" s="8">
        <v>0</v>
      </c>
      <c r="H104" s="8"/>
      <c r="I104" s="8"/>
      <c r="J104" t="s">
        <v>128</v>
      </c>
      <c r="K104" s="20"/>
    </row>
    <row r="105" spans="1:11" x14ac:dyDescent="0.25">
      <c r="A105" t="s">
        <v>198</v>
      </c>
      <c r="B105" s="55">
        <v>3</v>
      </c>
      <c r="C105" t="s">
        <v>120</v>
      </c>
      <c r="D105" t="s">
        <v>134</v>
      </c>
      <c r="E105" s="12"/>
      <c r="F105" s="12" t="s">
        <v>115</v>
      </c>
      <c r="G105" s="8">
        <v>0</v>
      </c>
      <c r="H105" s="8" t="s">
        <v>216</v>
      </c>
      <c r="I105" s="8" t="s">
        <v>149</v>
      </c>
      <c r="J105" s="8"/>
      <c r="K105" s="20" t="s">
        <v>193</v>
      </c>
    </row>
    <row r="106" spans="1:11" x14ac:dyDescent="0.25">
      <c r="A106" t="s">
        <v>199</v>
      </c>
      <c r="B106" s="55">
        <v>3</v>
      </c>
      <c r="C106" t="s">
        <v>129</v>
      </c>
      <c r="D106" t="s">
        <v>134</v>
      </c>
      <c r="E106" s="12">
        <v>5</v>
      </c>
      <c r="F106" s="12" t="s">
        <v>115</v>
      </c>
      <c r="G106" s="8">
        <v>0</v>
      </c>
      <c r="H106" s="8" t="s">
        <v>219</v>
      </c>
      <c r="I106" s="8" t="s">
        <v>155</v>
      </c>
      <c r="J106" s="8"/>
      <c r="K106" s="20" t="s">
        <v>201</v>
      </c>
    </row>
    <row r="107" spans="1:11" x14ac:dyDescent="0.25">
      <c r="A107" s="19"/>
      <c r="B107" s="55">
        <v>3</v>
      </c>
      <c r="D107" t="s">
        <v>135</v>
      </c>
      <c r="E107" s="12"/>
      <c r="F107" s="12"/>
      <c r="G107" s="8">
        <v>0</v>
      </c>
      <c r="H107" s="8"/>
      <c r="I107" s="8"/>
      <c r="J107" t="s">
        <v>128</v>
      </c>
      <c r="K107" s="20"/>
    </row>
    <row r="108" spans="1:11" x14ac:dyDescent="0.25">
      <c r="A108" s="19"/>
      <c r="B108" s="55">
        <v>3</v>
      </c>
      <c r="D108" t="s">
        <v>135</v>
      </c>
      <c r="E108" s="12"/>
      <c r="F108" s="12"/>
      <c r="G108" s="8">
        <v>0</v>
      </c>
      <c r="H108" s="8"/>
      <c r="I108" s="8"/>
      <c r="J108" t="s">
        <v>128</v>
      </c>
      <c r="K108" s="20"/>
    </row>
    <row r="109" spans="1:11" x14ac:dyDescent="0.25">
      <c r="A109" s="19"/>
      <c r="B109" s="55">
        <v>3</v>
      </c>
      <c r="D109" t="s">
        <v>135</v>
      </c>
      <c r="E109" s="12"/>
      <c r="F109" s="12"/>
      <c r="G109" s="8">
        <v>0</v>
      </c>
      <c r="H109" s="8"/>
      <c r="I109" s="8"/>
      <c r="J109" t="s">
        <v>128</v>
      </c>
      <c r="K109" s="20"/>
    </row>
    <row r="110" spans="1:11" x14ac:dyDescent="0.25">
      <c r="A110" s="19"/>
      <c r="B110" s="55">
        <v>3</v>
      </c>
      <c r="D110" t="s">
        <v>137</v>
      </c>
      <c r="E110" s="12"/>
      <c r="F110" s="12"/>
      <c r="G110" s="8">
        <v>0</v>
      </c>
      <c r="H110" s="8"/>
      <c r="I110" s="8"/>
      <c r="J110" t="s">
        <v>128</v>
      </c>
      <c r="K110" s="20"/>
    </row>
    <row r="111" spans="1:11" x14ac:dyDescent="0.25">
      <c r="A111" s="19"/>
      <c r="B111" s="55">
        <v>3</v>
      </c>
      <c r="D111" t="s">
        <v>137</v>
      </c>
      <c r="E111" s="12"/>
      <c r="F111" s="12"/>
      <c r="G111" s="8">
        <v>0</v>
      </c>
      <c r="H111" s="8"/>
      <c r="I111" s="8"/>
      <c r="J111" t="s">
        <v>128</v>
      </c>
      <c r="K111" s="20"/>
    </row>
    <row r="112" spans="1:11" x14ac:dyDescent="0.25">
      <c r="A112" s="19"/>
      <c r="B112" s="55">
        <v>3</v>
      </c>
      <c r="D112" t="s">
        <v>137</v>
      </c>
      <c r="E112" s="12"/>
      <c r="F112" s="12"/>
      <c r="G112" s="8">
        <v>0</v>
      </c>
      <c r="H112" s="8"/>
      <c r="I112" s="8"/>
      <c r="J112" t="s">
        <v>128</v>
      </c>
      <c r="K112" s="20"/>
    </row>
    <row r="113" spans="1:11" x14ac:dyDescent="0.25">
      <c r="A113" s="19"/>
      <c r="B113" s="55">
        <v>3</v>
      </c>
      <c r="D113" t="s">
        <v>136</v>
      </c>
      <c r="E113" s="12"/>
      <c r="F113" s="12"/>
      <c r="G113" s="8">
        <v>0</v>
      </c>
      <c r="H113" s="8"/>
      <c r="I113" s="8"/>
      <c r="J113" t="s">
        <v>128</v>
      </c>
      <c r="K113" s="20"/>
    </row>
    <row r="114" spans="1:11" x14ac:dyDescent="0.25">
      <c r="A114" s="19"/>
      <c r="B114" s="55">
        <v>3</v>
      </c>
      <c r="D114" t="s">
        <v>136</v>
      </c>
      <c r="E114" s="12"/>
      <c r="F114" s="12"/>
      <c r="G114" s="8">
        <v>0</v>
      </c>
      <c r="H114" s="8"/>
      <c r="I114" s="8"/>
      <c r="J114" t="s">
        <v>128</v>
      </c>
      <c r="K114" s="20"/>
    </row>
    <row r="115" spans="1:11" x14ac:dyDescent="0.25">
      <c r="A115" t="s">
        <v>200</v>
      </c>
      <c r="B115" s="55">
        <v>3</v>
      </c>
      <c r="C115" t="s">
        <v>120</v>
      </c>
      <c r="D115" t="s">
        <v>136</v>
      </c>
      <c r="E115" s="12">
        <v>6</v>
      </c>
      <c r="F115" s="12" t="s">
        <v>115</v>
      </c>
      <c r="G115" s="8">
        <v>0</v>
      </c>
      <c r="H115" s="8" t="s">
        <v>216</v>
      </c>
      <c r="I115" s="8" t="s">
        <v>149</v>
      </c>
      <c r="J115" s="8"/>
      <c r="K115" s="20" t="s">
        <v>194</v>
      </c>
    </row>
    <row r="116" spans="1:11" x14ac:dyDescent="0.25">
      <c r="A116" s="19"/>
      <c r="B116" s="55">
        <v>3</v>
      </c>
      <c r="D116" t="s">
        <v>138</v>
      </c>
      <c r="E116" s="12"/>
      <c r="F116" s="12"/>
      <c r="G116" s="8">
        <v>0</v>
      </c>
      <c r="H116" s="8"/>
      <c r="I116" s="8"/>
      <c r="J116" t="s">
        <v>128</v>
      </c>
      <c r="K116" s="20"/>
    </row>
    <row r="117" spans="1:11" x14ac:dyDescent="0.25">
      <c r="A117" s="19"/>
      <c r="B117" s="55">
        <v>3</v>
      </c>
      <c r="D117" t="s">
        <v>138</v>
      </c>
      <c r="E117" s="12"/>
      <c r="F117" s="12"/>
      <c r="G117" s="8">
        <v>0</v>
      </c>
      <c r="H117" s="8"/>
      <c r="I117" s="8"/>
      <c r="J117" t="s">
        <v>128</v>
      </c>
      <c r="K117" s="20"/>
    </row>
    <row r="118" spans="1:11" x14ac:dyDescent="0.25">
      <c r="A118" s="19"/>
      <c r="B118" s="55">
        <v>3</v>
      </c>
      <c r="D118" t="s">
        <v>138</v>
      </c>
      <c r="E118" s="12"/>
      <c r="F118" s="12"/>
      <c r="G118" s="8">
        <v>0</v>
      </c>
      <c r="H118" s="8"/>
      <c r="I118" s="8"/>
      <c r="J118" t="s">
        <v>128</v>
      </c>
      <c r="K118" s="20"/>
    </row>
  </sheetData>
  <conditionalFormatting sqref="D2:D118">
    <cfRule type="cellIs" dxfId="181" priority="2" operator="equal">
      <formula>"Psy"</formula>
    </cfRule>
    <cfRule type="cellIs" dxfId="180" priority="3" operator="equal">
      <formula>"Nature"</formula>
    </cfRule>
    <cfRule type="cellIs" dxfId="179" priority="4" operator="equal">
      <formula>"Lumière"</formula>
    </cfRule>
    <cfRule type="cellIs" dxfId="178" priority="5" operator="equal">
      <formula>"Air"</formula>
    </cfRule>
    <cfRule type="cellIs" dxfId="177" priority="6" operator="equal">
      <formula>"Arcane"</formula>
    </cfRule>
    <cfRule type="cellIs" dxfId="176" priority="7" operator="equal">
      <formula>"Terre"</formula>
    </cfRule>
    <cfRule type="cellIs" dxfId="175" priority="8" operator="equal">
      <formula>"Foudre"</formula>
    </cfRule>
    <cfRule type="cellIs" dxfId="174" priority="9" operator="equal">
      <formula>"Glace"</formula>
    </cfRule>
    <cfRule type="cellIs" dxfId="173" priority="10" operator="equal">
      <formula>"Feu"</formula>
    </cfRule>
  </conditionalFormatting>
  <conditionalFormatting sqref="G2:G118">
    <cfRule type="iconSet" priority="333">
      <iconSet showValue="0">
        <cfvo type="percent" val="0"/>
        <cfvo type="num" val="1"/>
        <cfvo type="num" val="1"/>
      </iconSet>
    </cfRule>
  </conditionalFormatting>
  <dataValidations count="8">
    <dataValidation type="list" allowBlank="1" showInputMessage="1" showErrorMessage="1" sqref="F116:F118 F2:F114" xr:uid="{2083E503-2689-41C9-A93E-8CE4062F1A40}">
      <formula1>"action,reaction,1 minute,10 minutes,1 heure"</formula1>
    </dataValidation>
    <dataValidation type="whole" allowBlank="1" showInputMessage="1" showErrorMessage="1" sqref="E116:E118 E2:E114" xr:uid="{277A64F4-06A3-4F8B-8D7E-7B26AC49BCF7}">
      <formula1>1</formula1>
      <formula2>12</formula2>
    </dataValidation>
    <dataValidation type="list" allowBlank="1" showInputMessage="1" showErrorMessage="1" sqref="G116:G118 G2:G114" xr:uid="{89D20B98-0352-48BB-84AB-46A7B75F233D}">
      <formula1>"0,1"</formula1>
    </dataValidation>
    <dataValidation type="list" allowBlank="1" showInputMessage="1" showErrorMessage="1" sqref="I116:I118 I2:I114" xr:uid="{EEEF00A1-B479-48E4-9738-8C1CA993F5D4}">
      <formula1>"Dégats,Buff,Debuff,Support,Tank,Mouvement,Utilitaire"</formula1>
    </dataValidation>
    <dataValidation type="list" allowBlank="1" showInputMessage="1" showErrorMessage="1" sqref="B2:B118" xr:uid="{4E8EEFDD-9A07-4C02-B158-2419EFCF1C07}">
      <formula1>"1,2,3"</formula1>
    </dataValidation>
    <dataValidation type="list" allowBlank="1" showInputMessage="1" showErrorMessage="1" sqref="C2:C118" xr:uid="{944F5A31-BB05-4287-A785-62BE9C98A95C}">
      <formula1>"Savoir,Precision,Instinct"</formula1>
    </dataValidation>
    <dataValidation type="list" allowBlank="1" showInputMessage="1" showErrorMessage="1" sqref="D2:D118" xr:uid="{674B968A-C0D9-4833-A197-50E2FD2957BD}">
      <formula1>"Feu,Glace,Foudre,Terre,Arcane,Air,Lumière,Nature,Psy"</formula1>
    </dataValidation>
    <dataValidation type="list" allowBlank="1" showInputMessage="1" showErrorMessage="1" sqref="H2:H118" xr:uid="{AB5DB6C7-3A8C-4DCA-ABDD-C8C07B9161E5}">
      <formula1>"Toucher,Personnel,3 cases,6 cases,9 cases,12 cases,18 cases,Spécial"</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F726-0DDD-41DD-9FD1-BB03B62862CE}">
  <dimension ref="A1:C10"/>
  <sheetViews>
    <sheetView workbookViewId="0">
      <selection activeCell="A2" sqref="A2"/>
    </sheetView>
  </sheetViews>
  <sheetFormatPr baseColWidth="10" defaultRowHeight="15" x14ac:dyDescent="0.25"/>
  <cols>
    <col min="1" max="1" width="18" bestFit="1" customWidth="1"/>
  </cols>
  <sheetData>
    <row r="1" spans="1:3" x14ac:dyDescent="0.25">
      <c r="A1" t="s">
        <v>3</v>
      </c>
      <c r="B1" t="s">
        <v>1</v>
      </c>
      <c r="C1" t="s">
        <v>2</v>
      </c>
    </row>
    <row r="2" spans="1:3" x14ac:dyDescent="0.25">
      <c r="A2" t="s">
        <v>10</v>
      </c>
      <c r="B2" t="s">
        <v>15</v>
      </c>
      <c r="C2" t="s">
        <v>12</v>
      </c>
    </row>
    <row r="3" spans="1:3" x14ac:dyDescent="0.25">
      <c r="A3" t="s">
        <v>9</v>
      </c>
      <c r="B3" t="s">
        <v>5</v>
      </c>
      <c r="C3" t="s">
        <v>12</v>
      </c>
    </row>
    <row r="4" spans="1:3" x14ac:dyDescent="0.25">
      <c r="A4" t="s">
        <v>11</v>
      </c>
      <c r="B4" t="s">
        <v>14</v>
      </c>
      <c r="C4" t="s">
        <v>12</v>
      </c>
    </row>
    <row r="5" spans="1:3" x14ac:dyDescent="0.25">
      <c r="A5" t="s">
        <v>7</v>
      </c>
      <c r="B5" t="s">
        <v>15</v>
      </c>
      <c r="C5" t="s">
        <v>5</v>
      </c>
    </row>
    <row r="6" spans="1:3" x14ac:dyDescent="0.25">
      <c r="A6" t="s">
        <v>5</v>
      </c>
      <c r="B6" t="s">
        <v>5</v>
      </c>
      <c r="C6" t="s">
        <v>5</v>
      </c>
    </row>
    <row r="7" spans="1:3" x14ac:dyDescent="0.25">
      <c r="A7" t="s">
        <v>0</v>
      </c>
      <c r="B7" t="s">
        <v>14</v>
      </c>
      <c r="C7" t="s">
        <v>5</v>
      </c>
    </row>
    <row r="8" spans="1:3" x14ac:dyDescent="0.25">
      <c r="A8" t="s">
        <v>6</v>
      </c>
      <c r="B8" t="s">
        <v>15</v>
      </c>
      <c r="C8" t="s">
        <v>13</v>
      </c>
    </row>
    <row r="9" spans="1:3" x14ac:dyDescent="0.25">
      <c r="A9" t="s">
        <v>4</v>
      </c>
      <c r="B9" t="s">
        <v>5</v>
      </c>
      <c r="C9" t="s">
        <v>13</v>
      </c>
    </row>
    <row r="10" spans="1:3" x14ac:dyDescent="0.25">
      <c r="A10" t="s">
        <v>8</v>
      </c>
      <c r="B10" t="s">
        <v>14</v>
      </c>
      <c r="C10" t="s">
        <v>13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449353-0093-46B3-9590-22C9F2821D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Récap</vt:lpstr>
      <vt:lpstr>Aspects</vt:lpstr>
      <vt:lpstr>Sorts</vt:lpstr>
      <vt:lpstr>Feuil2</vt:lpstr>
      <vt:lpstr>WCHARAC</vt:lpstr>
      <vt:lpstr>WMENTAL</vt:lpstr>
      <vt:lpstr>WPHYSIC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Clément Pons</dc:creator>
  <cp:lastModifiedBy>Peace</cp:lastModifiedBy>
  <dcterms:created xsi:type="dcterms:W3CDTF">2024-02-07T20:50:05Z</dcterms:created>
  <dcterms:modified xsi:type="dcterms:W3CDTF">2025-05-14T22:19:08Z</dcterms:modified>
</cp:coreProperties>
</file>