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Clement\Documents\Aspect\JDR\"/>
    </mc:Choice>
  </mc:AlternateContent>
  <xr:revisionPtr revIDLastSave="0" documentId="13_ncr:1_{B53CE320-03F7-4734-8697-63730353EECD}" xr6:coauthVersionLast="47" xr6:coauthVersionMax="47" xr10:uidLastSave="{00000000-0000-0000-0000-000000000000}"/>
  <bookViews>
    <workbookView xWindow="38280" yWindow="-120" windowWidth="38640" windowHeight="21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81029"/>
  <pivotCaches>
    <pivotCache cacheId="14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2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C11" i="3"/>
  <c r="C12" i="3"/>
  <c r="C13" i="3"/>
  <c r="C14" i="3"/>
  <c r="C15" i="3"/>
  <c r="C16" i="3"/>
  <c r="C17" i="3"/>
  <c r="O9" i="1"/>
  <c r="O34" i="1"/>
  <c r="O11" i="1"/>
  <c r="O29" i="1"/>
  <c r="O24" i="1"/>
  <c r="O31" i="1"/>
  <c r="O39" i="1"/>
  <c r="O8" i="1"/>
  <c r="O21" i="1"/>
  <c r="O15" i="1"/>
  <c r="O17" i="1"/>
  <c r="O37" i="1"/>
  <c r="O3" i="1"/>
  <c r="O14" i="1"/>
  <c r="O18" i="1"/>
  <c r="O22" i="1"/>
  <c r="O32" i="1"/>
  <c r="O33" i="1"/>
  <c r="O7" i="1"/>
  <c r="O13" i="1"/>
  <c r="O5" i="1"/>
  <c r="O20" i="1"/>
  <c r="O23" i="1"/>
  <c r="O28" i="1"/>
  <c r="O35" i="1"/>
  <c r="O4" i="1"/>
  <c r="O25" i="1"/>
  <c r="O10" i="1"/>
  <c r="O38" i="1"/>
  <c r="O30" i="1"/>
  <c r="O2" i="1"/>
  <c r="O19" i="1"/>
  <c r="O16" i="1"/>
  <c r="O36" i="1"/>
  <c r="O26" i="1"/>
  <c r="O6" i="1"/>
  <c r="O12" i="1"/>
  <c r="O27" i="1"/>
  <c r="N9" i="1"/>
  <c r="N34" i="1"/>
  <c r="N11" i="1"/>
  <c r="N29" i="1"/>
  <c r="N24" i="1"/>
  <c r="N31" i="1"/>
  <c r="N39" i="1"/>
  <c r="N8" i="1"/>
  <c r="N21" i="1"/>
  <c r="N15" i="1"/>
  <c r="N17" i="1"/>
  <c r="N37" i="1"/>
  <c r="N3" i="1"/>
  <c r="N14" i="1"/>
  <c r="N18" i="1"/>
  <c r="N22" i="1"/>
  <c r="N32" i="1"/>
  <c r="N33" i="1"/>
  <c r="N7" i="1"/>
  <c r="N13" i="1"/>
  <c r="N5" i="1"/>
  <c r="N20" i="1"/>
  <c r="N23" i="1"/>
  <c r="N28" i="1"/>
  <c r="N35" i="1"/>
  <c r="N4" i="1"/>
  <c r="N25" i="1"/>
  <c r="N10" i="1"/>
  <c r="N38" i="1"/>
  <c r="N30" i="1"/>
  <c r="N2" i="1"/>
  <c r="N19" i="1"/>
  <c r="N16" i="1"/>
  <c r="N36" i="1"/>
  <c r="N26" i="1"/>
  <c r="N6" i="1"/>
  <c r="N12" i="1"/>
  <c r="N27" i="1"/>
  <c r="H3" i="1"/>
  <c r="H14" i="1"/>
  <c r="H18" i="1"/>
  <c r="H22" i="1"/>
  <c r="H32" i="1"/>
  <c r="H33" i="1"/>
  <c r="H7" i="1"/>
  <c r="H13" i="1"/>
  <c r="H5" i="1"/>
  <c r="H20" i="1"/>
  <c r="H23" i="1"/>
  <c r="H28" i="1"/>
  <c r="H35" i="1"/>
  <c r="H4" i="1"/>
  <c r="H25" i="1"/>
  <c r="H10" i="1"/>
  <c r="H38" i="1"/>
  <c r="H30" i="1"/>
  <c r="H2" i="1"/>
  <c r="H19" i="1"/>
  <c r="H16" i="1"/>
  <c r="H36" i="1"/>
  <c r="H26" i="1"/>
  <c r="H6" i="1"/>
  <c r="H34" i="1"/>
  <c r="H11" i="1"/>
  <c r="H29" i="1"/>
  <c r="H24" i="1"/>
  <c r="H31" i="1"/>
  <c r="H39" i="1"/>
  <c r="H8" i="1"/>
  <c r="H21" i="1"/>
  <c r="H15" i="1"/>
  <c r="H17" i="1"/>
  <c r="H37" i="1"/>
  <c r="H9" i="1"/>
  <c r="E3" i="1"/>
  <c r="E14" i="1"/>
  <c r="E18" i="1"/>
  <c r="E22" i="1"/>
  <c r="E32" i="1"/>
  <c r="E33" i="1"/>
  <c r="E7" i="1"/>
  <c r="E13" i="1"/>
  <c r="E5" i="1"/>
  <c r="E20" i="1"/>
  <c r="E23" i="1"/>
  <c r="E28" i="1"/>
  <c r="E35" i="1"/>
  <c r="E4" i="1"/>
  <c r="E25" i="1"/>
  <c r="E10" i="1"/>
  <c r="E38" i="1"/>
  <c r="E30" i="1"/>
  <c r="E2" i="1"/>
  <c r="E19" i="1"/>
  <c r="E16" i="1"/>
  <c r="E36" i="1"/>
  <c r="E26" i="1"/>
  <c r="E6" i="1"/>
  <c r="E34" i="1"/>
  <c r="E11" i="1"/>
  <c r="E29" i="1"/>
  <c r="E24" i="1"/>
  <c r="E31" i="1"/>
  <c r="E39" i="1"/>
  <c r="E8" i="1"/>
  <c r="E21" i="1"/>
  <c r="E15" i="1"/>
  <c r="E17" i="1"/>
  <c r="E37" i="1"/>
  <c r="E9" i="1"/>
  <c r="B3" i="1"/>
  <c r="B14" i="1"/>
  <c r="B18" i="1"/>
  <c r="B22" i="1"/>
  <c r="B32" i="1"/>
  <c r="B33" i="1"/>
  <c r="B7" i="1"/>
  <c r="B13" i="1"/>
  <c r="B5" i="1"/>
  <c r="B20" i="1"/>
  <c r="B23" i="1"/>
  <c r="B28" i="1"/>
  <c r="B35" i="1"/>
  <c r="B4" i="1"/>
  <c r="B25" i="1"/>
  <c r="B10" i="1"/>
  <c r="B38" i="1"/>
  <c r="B30" i="1"/>
  <c r="B2" i="1"/>
  <c r="B19" i="1"/>
  <c r="B16" i="1"/>
  <c r="B36" i="1"/>
  <c r="B26" i="1"/>
  <c r="B6" i="1"/>
  <c r="B34" i="1"/>
  <c r="B11" i="1"/>
  <c r="B29" i="1"/>
  <c r="B24" i="1"/>
  <c r="B31" i="1"/>
  <c r="B39" i="1"/>
  <c r="B8" i="1"/>
  <c r="B21" i="1"/>
  <c r="B15" i="1"/>
  <c r="B17" i="1"/>
  <c r="B37" i="1"/>
  <c r="B9" i="1"/>
  <c r="D14" i="3" l="1"/>
  <c r="G9" i="3"/>
  <c r="G17" i="3"/>
  <c r="D17" i="3"/>
  <c r="G8" i="3"/>
  <c r="D16" i="3"/>
  <c r="C3" i="3"/>
  <c r="D15" i="3"/>
  <c r="D13" i="3"/>
  <c r="D12" i="3"/>
  <c r="D11" i="3"/>
  <c r="C8" i="3"/>
  <c r="G7" i="3"/>
  <c r="G12" i="3"/>
  <c r="H12" i="3" s="1"/>
  <c r="C7" i="3"/>
  <c r="G16" i="3"/>
  <c r="G5" i="3"/>
  <c r="C5" i="3"/>
  <c r="G4" i="3"/>
  <c r="G14" i="3"/>
  <c r="C9" i="3"/>
  <c r="C4" i="3"/>
  <c r="G3" i="3"/>
  <c r="G18" i="3"/>
  <c r="G13" i="3"/>
  <c r="H16" i="3" l="1"/>
  <c r="H17" i="3"/>
  <c r="H14" i="3"/>
  <c r="H18" i="3"/>
  <c r="H5" i="3"/>
  <c r="H3" i="3"/>
  <c r="H8" i="3"/>
  <c r="D9" i="3"/>
  <c r="H4" i="3"/>
  <c r="D5" i="3"/>
  <c r="D4" i="3"/>
  <c r="D7" i="3"/>
  <c r="H7" i="3"/>
  <c r="D8" i="3"/>
  <c r="H9" i="3"/>
  <c r="H13" i="3"/>
  <c r="D3" i="3"/>
</calcChain>
</file>

<file path=xl/sharedStrings.xml><?xml version="1.0" encoding="utf-8"?>
<sst xmlns="http://schemas.openxmlformats.org/spreadsheetml/2006/main" count="239" uniqueCount="88">
  <si>
    <t>Oui</t>
  </si>
  <si>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</si>
  <si>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</si>
  <si>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</si>
  <si>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</si>
  <si>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</si>
  <si>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</si>
  <si>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</si>
  <si>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</si>
  <si>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</si>
  <si>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</si>
  <si>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</si>
  <si>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</si>
  <si>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</si>
  <si>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</si>
  <si>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</si>
  <si>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</si>
  <si>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</si>
  <si>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</si>
  <si>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</si>
  <si>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</si>
  <si>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</si>
  <si>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</si>
  <si>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</si>
  <si>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</si>
  <si>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</si>
  <si>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Special</t>
  </si>
  <si>
    <t>Anseilid</t>
  </si>
  <si>
    <t>Brukaur</t>
  </si>
  <si>
    <t>Digride</t>
  </si>
  <si>
    <t>Dragon</t>
  </si>
  <si>
    <t>Eladir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</si>
  <si>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</si>
  <si>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</si>
  <si>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</si>
  <si>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</si>
  <si>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</si>
  <si>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</si>
  <si>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</si>
  <si>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</si>
  <si>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</si>
  <si>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</si>
  <si>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Avec magie</t>
  </si>
  <si>
    <t>Sans magie</t>
  </si>
  <si>
    <t>Magie invalide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</si>
  <si>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</si>
  <si>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</si>
  <si>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</si>
  <si>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</si>
  <si>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</si>
  <si>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</si>
  <si>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</si>
  <si>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</si>
  <si>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</si>
  <si>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</si>
  <si>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</si>
  <si>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Drinver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</si>
  <si>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</si>
  <si>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</si>
  <si>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</si>
  <si>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</si>
  <si>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</si>
  <si>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</si>
  <si>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</si>
  <si>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</si>
  <si>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</si>
  <si>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</si>
  <si>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Doa'tus</t>
  </si>
  <si>
    <t>Beth'oit</t>
  </si>
  <si>
    <t>Arsinam</t>
  </si>
  <si>
    <t>Kabi</t>
  </si>
  <si>
    <t>Mul'dekar</t>
  </si>
  <si>
    <t>Yinkovn</t>
  </si>
  <si>
    <t>Rudnard</t>
  </si>
  <si>
    <t>Zaliax</t>
  </si>
  <si>
    <t>Incabat</t>
  </si>
  <si>
    <t>Jernius</t>
  </si>
  <si>
    <t>Qua'faltar</t>
  </si>
  <si>
    <t>Étiquettes de lignes</t>
  </si>
  <si>
    <t>Étiquettes de colonnes</t>
  </si>
  <si>
    <t>Nombre de Stat favorite</t>
  </si>
  <si>
    <t>Chaotique = - de curiosité et d'éloquence</t>
  </si>
  <si>
    <t>Bon = + d'éloquence et de curiosité</t>
  </si>
  <si>
    <t>Mauvais = + de force et de dextérité</t>
  </si>
  <si>
    <t>Magie = + d'intelligence et curiosité</t>
  </si>
  <si>
    <t>Loyal = - de force et de résilience</t>
  </si>
  <si>
    <t>Phy min</t>
  </si>
  <si>
    <t>Min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</si>
</sst>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10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64" fontId="0" fillId="0" borderId="5" xfId="1" applyNumberFormat="1" applyFont="1" applyBorder="1"/>
    <xf numFmtId="164" fontId="0" fillId="0" borderId="9" xfId="1" applyNumberFormat="1" applyFont="1" applyBorder="1"/>
    <xf numFmtId="164" fontId="0" fillId="0" borderId="14" xfId="1" applyNumberFormat="1" applyFont="1" applyBorder="1"/>
    <xf numFmtId="164" fontId="0" fillId="0" borderId="7" xfId="0" applyNumberFormat="1" applyBorder="1"/>
    <xf numFmtId="164" fontId="0" fillId="0" borderId="9" xfId="0" applyNumberFormat="1" applyBorder="1"/>
    <xf numFmtId="164" fontId="0" fillId="0" borderId="11" xfId="0" applyNumberFormat="1" applyBorder="1"/>
    <xf numFmtId="164" fontId="0" fillId="0" borderId="14" xfId="0" applyNumberForma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2">
    <cellStyle name="Normal" xfId="0" builtinId="0"/>
    <cellStyle name="Pourcentage" xfId="1" builtinId="5"/>
  </cellStyles>
  <dxfs count="17">
    <dxf>
      <numFmt numFmtId="0" formatCode="General"/>
    </dxf>
    <dxf>
      <numFmt numFmtId="1" formatCode="0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ace" refreshedDate="45329.982968634256" createdVersion="8" refreshedVersion="8" minRefreshableVersion="3" recordCount="38" xr:uid="{B2C4A21F-6C02-4AD4-B33F-9B17E06CB94F}">
  <cacheSource type="worksheet">
    <worksheetSource name="Tableau2"/>
  </cacheSource>
  <cacheFields count="16">
    <cacheField name="Aspect" numFmtId="0">
      <sharedItems/>
    </cacheField>
    <cacheField name="Physique" numFmtId="0">
      <sharedItems/>
    </cacheField>
    <cacheField name="Phy mi" numFmtId="1">
      <sharedItems containsString="0" containsBlank="1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tring="0" containsBlank="1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5" maxValue="12"/>
    </cacheField>
    <cacheField name="Cha max" numFmtId="1">
      <sharedItems containsString="0" containsBlank="1" containsNumber="1" containsInteger="1" minValue="18" maxValue="25"/>
    </cacheField>
    <cacheField name="Stat favorite" numFmtId="1">
      <sharedItems containsBlank="1" count="8">
        <s v="Éloquence"/>
        <s v="Dextérité"/>
        <m/>
        <s v="Résilience"/>
        <s v="Force"/>
        <s v="Intelligence"/>
        <s v="Curiosité"/>
        <s v="Psyché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Chaotique"/>
        <s v="Loyal"/>
        <s v="Neutre"/>
      </sharedItems>
    </cacheField>
    <cacheField name="Magie" numFmtId="0">
      <sharedItems/>
    </cacheField>
    <cacheField name="Magie invalide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">
  <r>
    <s v="Hashura"/>
    <s v=" - "/>
    <m/>
    <m/>
    <s v=" - "/>
    <m/>
    <m/>
    <s v=" - "/>
    <m/>
    <m/>
    <x v="0"/>
    <s v="Chaotique bon"/>
    <x v="0"/>
    <x v="0"/>
    <s v="Oui"/>
    <n v="0"/>
  </r>
  <r>
    <s v="Rudnard"/>
    <s v=" - "/>
    <m/>
    <m/>
    <s v=" - "/>
    <m/>
    <m/>
    <s v=" - "/>
    <m/>
    <m/>
    <x v="1"/>
    <s v="Chaotique bon"/>
    <x v="0"/>
    <x v="0"/>
    <s v="Oui"/>
    <n v="0"/>
  </r>
  <r>
    <s v="Shelfine"/>
    <s v=" - "/>
    <m/>
    <m/>
    <s v=" - "/>
    <m/>
    <m/>
    <s v=" - "/>
    <m/>
    <m/>
    <x v="2"/>
    <s v="Chaotique bon"/>
    <x v="0"/>
    <x v="0"/>
    <s v="Oui"/>
    <n v="0"/>
  </r>
  <r>
    <s v="Lonidae"/>
    <s v=" - "/>
    <m/>
    <m/>
    <s v=" - "/>
    <m/>
    <m/>
    <s v=" - "/>
    <m/>
    <m/>
    <x v="2"/>
    <s v="Chaotique mauvais"/>
    <x v="1"/>
    <x v="0"/>
    <s v="Oui"/>
    <n v="0"/>
  </r>
  <r>
    <s v="Promolide"/>
    <s v=" - "/>
    <m/>
    <m/>
    <s v=" - "/>
    <m/>
    <m/>
    <s v=" - "/>
    <m/>
    <m/>
    <x v="3"/>
    <s v="Chaotique mauvais"/>
    <x v="1"/>
    <x v="0"/>
    <s v="Oui"/>
    <n v="0"/>
  </r>
  <r>
    <s v="Qua'faltar"/>
    <s v=" - "/>
    <m/>
    <m/>
    <s v=" - "/>
    <m/>
    <m/>
    <s v=" - "/>
    <m/>
    <m/>
    <x v="2"/>
    <s v="Chaotique mauvais"/>
    <x v="1"/>
    <x v="0"/>
    <s v="Non"/>
    <n v="1"/>
  </r>
  <r>
    <s v="Shlahog"/>
    <s v=" - "/>
    <m/>
    <m/>
    <s v=" - "/>
    <m/>
    <m/>
    <s v=" - "/>
    <m/>
    <m/>
    <x v="2"/>
    <s v="Chaotique mauvais"/>
    <x v="1"/>
    <x v="0"/>
    <s v="Oui"/>
    <n v="0"/>
  </r>
  <r>
    <s v="Thymeïr"/>
    <s v=" - "/>
    <m/>
    <m/>
    <s v=" - "/>
    <m/>
    <m/>
    <s v=" - "/>
    <m/>
    <m/>
    <x v="4"/>
    <s v="Chaotique mauvais"/>
    <x v="1"/>
    <x v="0"/>
    <s v="Non"/>
    <n v="1"/>
  </r>
  <r>
    <s v="Vadeaxil"/>
    <s v=" - "/>
    <m/>
    <m/>
    <s v=" - "/>
    <m/>
    <m/>
    <s v=" - "/>
    <m/>
    <m/>
    <x v="2"/>
    <s v="Chaotique mauvais"/>
    <x v="1"/>
    <x v="0"/>
    <s v="Oui"/>
    <n v="0"/>
  </r>
  <r>
    <s v="Anseilid"/>
    <s v="0 - 10"/>
    <n v="0"/>
    <n v="10"/>
    <s v="15 - 30"/>
    <n v="15"/>
    <n v="30"/>
    <s v="10 - 18"/>
    <n v="10"/>
    <n v="18"/>
    <x v="5"/>
    <s v="Chaotique neutre"/>
    <x v="2"/>
    <x v="0"/>
    <s v="Oui"/>
    <n v="1"/>
  </r>
  <r>
    <s v="Arsinam"/>
    <s v=" - "/>
    <m/>
    <m/>
    <s v=" - "/>
    <m/>
    <m/>
    <s v=" - "/>
    <m/>
    <m/>
    <x v="2"/>
    <s v="Chaotique neutre"/>
    <x v="2"/>
    <x v="0"/>
    <s v="Non"/>
    <n v="1"/>
  </r>
  <r>
    <s v="Brukaur"/>
    <s v="15 - 30"/>
    <n v="15"/>
    <n v="30"/>
    <s v="0 - 10"/>
    <n v="0"/>
    <n v="10"/>
    <s v="5 - 20"/>
    <n v="5"/>
    <n v="20"/>
    <x v="3"/>
    <s v="Chaotique neutre"/>
    <x v="2"/>
    <x v="0"/>
    <s v="Non"/>
    <n v="1"/>
  </r>
  <r>
    <s v="Dragon"/>
    <s v="Special"/>
    <m/>
    <m/>
    <s v="Special"/>
    <m/>
    <m/>
    <s v="Special"/>
    <m/>
    <m/>
    <x v="2"/>
    <s v="Chaotique neutre"/>
    <x v="2"/>
    <x v="0"/>
    <s v="Oui"/>
    <n v="1"/>
  </r>
  <r>
    <s v="Jernius"/>
    <s v=" - "/>
    <m/>
    <m/>
    <s v=" - "/>
    <m/>
    <m/>
    <s v=" - "/>
    <m/>
    <m/>
    <x v="2"/>
    <s v="Chaotique neutre"/>
    <x v="2"/>
    <x v="0"/>
    <s v="Non"/>
    <n v="1"/>
  </r>
  <r>
    <s v="Onimee"/>
    <s v=" - "/>
    <m/>
    <m/>
    <s v=" - "/>
    <m/>
    <m/>
    <s v=" - "/>
    <m/>
    <m/>
    <x v="2"/>
    <s v="Chaotique neutre"/>
    <x v="2"/>
    <x v="0"/>
    <s v="Non"/>
    <n v="1"/>
  </r>
  <r>
    <s v="Zeniom"/>
    <s v=" - "/>
    <m/>
    <m/>
    <s v=" - "/>
    <m/>
    <m/>
    <s v=" - "/>
    <m/>
    <m/>
    <x v="2"/>
    <s v="Chaotique neutre"/>
    <x v="2"/>
    <x v="0"/>
    <s v="Oui"/>
    <n v="0"/>
  </r>
  <r>
    <s v="Beth'oit"/>
    <s v=" - "/>
    <m/>
    <m/>
    <s v=" - "/>
    <m/>
    <m/>
    <s v=" - "/>
    <m/>
    <m/>
    <x v="2"/>
    <s v="Loyal bon"/>
    <x v="0"/>
    <x v="1"/>
    <s v="Oui"/>
    <n v="0"/>
  </r>
  <r>
    <s v="Kabi"/>
    <s v=" - "/>
    <m/>
    <m/>
    <s v=" - "/>
    <m/>
    <m/>
    <s v=" - "/>
    <m/>
    <m/>
    <x v="2"/>
    <s v="Loyal bon"/>
    <x v="0"/>
    <x v="1"/>
    <s v="Oui"/>
    <n v="0"/>
  </r>
  <r>
    <s v="Goldreg"/>
    <s v=" - "/>
    <m/>
    <m/>
    <s v=" - "/>
    <m/>
    <m/>
    <s v=" - "/>
    <m/>
    <m/>
    <x v="2"/>
    <s v="Loyal mauvais"/>
    <x v="1"/>
    <x v="1"/>
    <s v="Non"/>
    <n v="1"/>
  </r>
  <r>
    <s v="Urdi'rik"/>
    <s v=" - "/>
    <m/>
    <m/>
    <s v=" - "/>
    <m/>
    <m/>
    <s v=" - "/>
    <m/>
    <m/>
    <x v="2"/>
    <s v="Loyal mauvais"/>
    <x v="1"/>
    <x v="1"/>
    <s v="Oui"/>
    <n v="0"/>
  </r>
  <r>
    <s v="Zaliax"/>
    <s v=" - "/>
    <m/>
    <m/>
    <s v=" - "/>
    <m/>
    <m/>
    <s v=" - "/>
    <m/>
    <m/>
    <x v="2"/>
    <s v="Loyal mauvais"/>
    <x v="1"/>
    <x v="1"/>
    <s v="Non"/>
    <n v="1"/>
  </r>
  <r>
    <s v="Calderan"/>
    <s v=" - "/>
    <m/>
    <m/>
    <s v=" - "/>
    <m/>
    <m/>
    <s v=" - "/>
    <m/>
    <m/>
    <x v="2"/>
    <s v="Loyal neutre"/>
    <x v="2"/>
    <x v="1"/>
    <s v="Non"/>
    <n v="1"/>
  </r>
  <r>
    <s v="Kuelid"/>
    <s v=" - "/>
    <m/>
    <m/>
    <s v=" - "/>
    <m/>
    <m/>
    <s v=" - "/>
    <m/>
    <m/>
    <x v="2"/>
    <s v="Loyal neutre"/>
    <x v="2"/>
    <x v="1"/>
    <s v="Oui"/>
    <n v="0"/>
  </r>
  <r>
    <s v="Miador"/>
    <s v=" - "/>
    <m/>
    <m/>
    <s v=" - "/>
    <m/>
    <m/>
    <s v=" - "/>
    <m/>
    <m/>
    <x v="2"/>
    <s v="Loyal neutre"/>
    <x v="2"/>
    <x v="1"/>
    <s v="Oui"/>
    <n v="0"/>
  </r>
  <r>
    <s v="Eladir"/>
    <s v="Special"/>
    <m/>
    <m/>
    <s v="Special"/>
    <m/>
    <m/>
    <s v="Special"/>
    <m/>
    <m/>
    <x v="2"/>
    <s v="Neutre"/>
    <x v="2"/>
    <x v="2"/>
    <s v="Oui"/>
    <n v="1"/>
  </r>
  <r>
    <s v="Franeline"/>
    <s v=" - "/>
    <m/>
    <m/>
    <s v=" - "/>
    <m/>
    <m/>
    <s v=" - "/>
    <m/>
    <m/>
    <x v="2"/>
    <s v="Neutre"/>
    <x v="2"/>
    <x v="2"/>
    <s v="Oui"/>
    <n v="0"/>
  </r>
  <r>
    <s v="Nigiak"/>
    <s v=" - "/>
    <m/>
    <m/>
    <s v=" - "/>
    <m/>
    <m/>
    <s v=" - "/>
    <m/>
    <m/>
    <x v="2"/>
    <s v="Neutre"/>
    <x v="2"/>
    <x v="2"/>
    <s v="Oui"/>
    <n v="0"/>
  </r>
  <r>
    <s v="Nyelis"/>
    <s v=" - "/>
    <m/>
    <m/>
    <s v=" - "/>
    <m/>
    <m/>
    <s v=" - "/>
    <m/>
    <m/>
    <x v="6"/>
    <s v="Neutre"/>
    <x v="2"/>
    <x v="2"/>
    <s v="Oui"/>
    <n v="0"/>
  </r>
  <r>
    <s v="Yinkovn"/>
    <s v=" - "/>
    <m/>
    <m/>
    <s v=" - "/>
    <m/>
    <m/>
    <s v=" - "/>
    <m/>
    <m/>
    <x v="2"/>
    <s v="Neutre"/>
    <x v="2"/>
    <x v="2"/>
    <s v="Oui"/>
    <n v="0"/>
  </r>
  <r>
    <s v="Akkatom"/>
    <s v=" - "/>
    <m/>
    <m/>
    <s v=" - "/>
    <m/>
    <m/>
    <s v=" - "/>
    <m/>
    <m/>
    <x v="4"/>
    <s v="Neutre bon"/>
    <x v="0"/>
    <x v="2"/>
    <s v="Non"/>
    <n v="1"/>
  </r>
  <r>
    <s v="Drinver"/>
    <s v=" - "/>
    <m/>
    <m/>
    <s v=" - "/>
    <m/>
    <m/>
    <s v=" - "/>
    <m/>
    <m/>
    <x v="2"/>
    <s v="Neutre bon"/>
    <x v="0"/>
    <x v="2"/>
    <s v="Non"/>
    <n v="1"/>
  </r>
  <r>
    <s v="Asnol"/>
    <s v=" - "/>
    <m/>
    <m/>
    <s v=" - "/>
    <m/>
    <m/>
    <s v=" - "/>
    <m/>
    <m/>
    <x v="2"/>
    <s v="Neutre mauvais"/>
    <x v="1"/>
    <x v="2"/>
    <s v="Oui"/>
    <n v="0"/>
  </r>
  <r>
    <s v="Digride"/>
    <s v="10 - 20"/>
    <n v="10"/>
    <n v="20"/>
    <s v="8 - 20"/>
    <n v="8"/>
    <n v="20"/>
    <s v="12 - 25"/>
    <n v="12"/>
    <n v="25"/>
    <x v="1"/>
    <s v="Neutre mauvais"/>
    <x v="1"/>
    <x v="2"/>
    <s v="Oui"/>
    <n v="1"/>
  </r>
  <r>
    <s v="Doa'tus"/>
    <s v=" - "/>
    <m/>
    <m/>
    <s v=" - "/>
    <m/>
    <m/>
    <s v=" - "/>
    <m/>
    <m/>
    <x v="2"/>
    <s v="Neutre mauvais"/>
    <x v="1"/>
    <x v="2"/>
    <s v="Non"/>
    <n v="1"/>
  </r>
  <r>
    <s v="Incabat"/>
    <s v=" - "/>
    <m/>
    <m/>
    <s v=" - "/>
    <m/>
    <m/>
    <s v=" - "/>
    <m/>
    <m/>
    <x v="2"/>
    <s v="Neutre mauvais"/>
    <x v="1"/>
    <x v="2"/>
    <s v="Non"/>
    <n v="1"/>
  </r>
  <r>
    <s v="Kronian"/>
    <s v=" - "/>
    <m/>
    <m/>
    <s v=" - "/>
    <m/>
    <m/>
    <s v=" - "/>
    <m/>
    <m/>
    <x v="2"/>
    <s v="Neutre mauvais"/>
    <x v="1"/>
    <x v="2"/>
    <s v="Oui"/>
    <n v="0"/>
  </r>
  <r>
    <s v="Mul'dekar"/>
    <s v=" - "/>
    <m/>
    <m/>
    <s v=" - "/>
    <m/>
    <m/>
    <s v=" - "/>
    <m/>
    <m/>
    <x v="2"/>
    <s v="Neutre mauvais"/>
    <x v="1"/>
    <x v="2"/>
    <s v="Oui"/>
    <n v="0"/>
  </r>
  <r>
    <s v="Othompa"/>
    <s v=" - "/>
    <m/>
    <m/>
    <s v=" - "/>
    <m/>
    <m/>
    <s v=" - "/>
    <m/>
    <m/>
    <x v="7"/>
    <s v="Neutre mauvais"/>
    <x v="1"/>
    <x v="2"/>
    <s v="Oui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4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customListSort="0">
  <location ref="J13:L21" firstHeaderRow="1" firstDataRow="2" firstDataCol="1"/>
  <pivotFields count="1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6"/>
        <item x="1"/>
        <item x="0"/>
        <item x="4"/>
        <item x="5"/>
        <item x="7"/>
        <item x="3"/>
        <item h="1" x="2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</pivotFields>
  <rowFields count="1">
    <field x="1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3"/>
  </colFields>
  <colItems count="2">
    <i>
      <x/>
    </i>
    <i>
      <x v="2"/>
    </i>
  </colItems>
  <dataFields count="1">
    <dataField name="Nombre de Stat favorite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4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customListSort="0">
  <location ref="J2:M10" firstHeaderRow="1" firstDataRow="2" firstDataCol="1"/>
  <pivotFields count="1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6"/>
        <item x="1"/>
        <item x="0"/>
        <item x="4"/>
        <item x="5"/>
        <item x="7"/>
        <item x="3"/>
        <item h="1" x="2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>
      <items count="4">
        <item x="0"/>
        <item x="1"/>
        <item x="2"/>
        <item t="default"/>
      </items>
    </pivotField>
    <pivotField showAll="0"/>
    <pivotField showAll="0"/>
  </pivotFields>
  <rowFields count="1">
    <field x="10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2"/>
  </colFields>
  <colItems count="3">
    <i>
      <x/>
    </i>
    <i>
      <x v="1"/>
    </i>
    <i>
      <x v="2"/>
    </i>
  </colItems>
  <dataFields count="1">
    <dataField name="Nombre de Stat favorite" fld="1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Q39" totalsRowShown="0">
  <autoFilter ref="A1:Q39" xr:uid="{A8A04A0B-99E5-47DA-B000-A1B3A2D4D345}"/>
  <sortState xmlns:xlrd2="http://schemas.microsoft.com/office/spreadsheetml/2017/richdata2" ref="A2:Q39">
    <sortCondition ref="M1:M39"/>
  </sortState>
  <tableColumns count="17">
    <tableColumn id="1" xr3:uid="{10AA4F7D-76DE-41B1-9659-A5044CC3E4A8}" name="Aspect" dataDxfId="16"/>
    <tableColumn id="2" xr3:uid="{A898C7BE-0FDD-402E-8922-35117279222B}" name="Physique" dataDxfId="15"/>
    <tableColumn id="9" xr3:uid="{4FA83F93-4573-46A4-A19C-C295E9738AAD}" name="Phy min" dataDxfId="14"/>
    <tableColumn id="10" xr3:uid="{07F11B45-75A0-4510-8871-7C335ECB6F0B}" name="Phy max" dataDxfId="13"/>
    <tableColumn id="3" xr3:uid="{ECF1AC7E-5D81-4093-B97F-5FBA02904983}" name="Mental" dataDxfId="12"/>
    <tableColumn id="11" xr3:uid="{06B7B755-4C10-4F66-8420-171C42244C9F}" name="Men min" dataDxfId="11"/>
    <tableColumn id="12" xr3:uid="{56B7A928-DE0B-4793-AB8D-3D4BBC8386A7}" name="Men max" dataDxfId="10"/>
    <tableColumn id="4" xr3:uid="{EF26AB02-1B3F-4F8C-8E02-B3283BCEA532}" name="Charactère" dataDxfId="9"/>
    <tableColumn id="13" xr3:uid="{2C1AE653-EA96-4993-9C14-572C1613BF63}" name="Cha min" dataDxfId="8"/>
    <tableColumn id="14" xr3:uid="{8B692861-3522-43B8-B94A-1BE0E42BF8E6}" name="Cha max" dataDxfId="7"/>
    <tableColumn id="15" xr3:uid="{89823BD5-E43B-4180-864D-11077269E43E}" name="Min stats" dataDxfId="1">
      <calculatedColumnFormula>Tableau2[[#This Row],[Phy min]]+Tableau2[[#This Row],[Men min]]+Tableau2[[#This Row],[Cha min]]</calculatedColumnFormula>
    </tableColumn>
    <tableColumn id="17" xr3:uid="{80B84368-B714-432D-BEE5-BA817EC9B9D3}" name="Stat favorite" dataDxfId="6"/>
    <tableColumn id="5" xr3:uid="{E635B0CD-5AA8-4957-9B73-A5F50895628E}" name="Alignement" dataDxfId="5"/>
    <tableColumn id="6" xr3:uid="{D99196F6-6064-42E9-9F14-08286C5F2CBF}" name="Bonté" dataDxfId="4">
      <calculatedColumnFormula>IFERROR(VLOOKUP(Tableau2[[#This Row],[Alignement]],Alignement[],2,FALSE),"")</calculatedColumnFormula>
    </tableColumn>
    <tableColumn id="7" xr3:uid="{A6CC1D48-401A-4CA9-83BC-5484361F3C75}" name="Loyauté" dataDxfId="3">
      <calculatedColumnFormula>IFERROR(VLOOKUP(Tableau2[[#This Row],[Alignement]],Alignement[],3,FALSE),"")</calculatedColumnFormula>
    </tableColumn>
    <tableColumn id="8" xr3:uid="{A8B45E07-B4D8-4E13-9202-FDC79F47976E}" name="Magie" dataDxfId="2"/>
    <tableColumn id="16" xr3:uid="{4F1A83C0-3C17-497F-B72E-FCCA96895256}" name="Magie invalide" dataDxfId="0">
      <calculatedColumnFormula>IF(AND(AND(Tableau2[[#This Row],[Magie]]="Oui",Tableau2[[#This Row],[Men min]]&lt;8,Tableau2[[#This Row],[Mental]]&lt;&gt;"Special"),Tableau2[[#This Row],[Min stats]]&lt;40),0,1)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1:M21"/>
  <sheetViews>
    <sheetView showGridLines="0" workbookViewId="0">
      <selection activeCell="E23" sqref="E23"/>
    </sheetView>
  </sheetViews>
  <sheetFormatPr baseColWidth="10" defaultRowHeight="15" x14ac:dyDescent="0.25"/>
  <cols>
    <col min="10" max="10" width="22.5703125" bestFit="1" customWidth="1"/>
    <col min="11" max="11" width="10.7109375" customWidth="1"/>
    <col min="12" max="13" width="7.28515625" bestFit="1" customWidth="1"/>
    <col min="14" max="14" width="12.5703125" bestFit="1" customWidth="1"/>
    <col min="15" max="15" width="7.28515625" bestFit="1" customWidth="1"/>
    <col min="16" max="16" width="13.28515625" bestFit="1" customWidth="1"/>
    <col min="17" max="17" width="10.140625" bestFit="1" customWidth="1"/>
    <col min="18" max="18" width="7.28515625" bestFit="1" customWidth="1"/>
    <col min="19" max="19" width="12.140625" bestFit="1" customWidth="1"/>
    <col min="20" max="20" width="12.5703125" bestFit="1" customWidth="1"/>
    <col min="21" max="21" width="7.28515625" bestFit="1" customWidth="1"/>
    <col min="22" max="22" width="12.140625" bestFit="1" customWidth="1"/>
    <col min="23" max="23" width="12.5703125" bestFit="1" customWidth="1"/>
    <col min="24" max="24" width="12.140625" bestFit="1" customWidth="1"/>
    <col min="25" max="25" width="13" bestFit="1" customWidth="1"/>
    <col min="26" max="26" width="16.140625" bestFit="1" customWidth="1"/>
    <col min="27" max="27" width="16.85546875" bestFit="1" customWidth="1"/>
    <col min="28" max="28" width="20" bestFit="1" customWidth="1"/>
    <col min="29" max="29" width="12.5703125" bestFit="1" customWidth="1"/>
  </cols>
  <sheetData>
    <row r="1" spans="2:13" ht="15.75" thickBot="1" x14ac:dyDescent="0.3"/>
    <row r="2" spans="2:13" ht="15.75" thickBot="1" x14ac:dyDescent="0.3">
      <c r="F2" s="20" t="s">
        <v>42</v>
      </c>
      <c r="G2" s="21"/>
      <c r="H2" s="22"/>
      <c r="J2" s="23" t="s">
        <v>80</v>
      </c>
      <c r="K2" s="23" t="s">
        <v>79</v>
      </c>
    </row>
    <row r="3" spans="2:13" x14ac:dyDescent="0.25">
      <c r="B3" s="11" t="s">
        <v>16</v>
      </c>
      <c r="C3" s="12">
        <f>COUNTIF(Tableau2[Bonté],"Bon")</f>
        <v>6</v>
      </c>
      <c r="D3" s="13">
        <f>C3/SUM($C$3:$C$5)</f>
        <v>0.15789473684210525</v>
      </c>
      <c r="F3" s="5" t="s">
        <v>16</v>
      </c>
      <c r="G3" s="3">
        <f>COUNTIFS(Tableau2[Bonté],"Bon",Tableau2[Magie],"Oui")</f>
        <v>4</v>
      </c>
      <c r="H3" s="16">
        <f>G3/C3</f>
        <v>0.66666666666666663</v>
      </c>
      <c r="J3" s="23" t="s">
        <v>78</v>
      </c>
      <c r="K3" t="s">
        <v>16</v>
      </c>
      <c r="L3" t="s">
        <v>15</v>
      </c>
      <c r="M3" t="s">
        <v>6</v>
      </c>
    </row>
    <row r="4" spans="2:13" x14ac:dyDescent="0.25">
      <c r="B4" s="6" t="s">
        <v>6</v>
      </c>
      <c r="C4">
        <f>COUNTIF(Tableau2[Bonté],"Neutre")</f>
        <v>17</v>
      </c>
      <c r="D4" s="14">
        <f>C4/SUM($C$3:$C$5)</f>
        <v>0.44736842105263158</v>
      </c>
      <c r="F4" s="6" t="s">
        <v>6</v>
      </c>
      <c r="G4">
        <f>COUNTIFS(Tableau2[Bonté],"Neutre",Tableau2[Magie],"Oui")</f>
        <v>12</v>
      </c>
      <c r="H4" s="17">
        <f>G4/C4</f>
        <v>0.70588235294117652</v>
      </c>
      <c r="J4" s="24" t="s">
        <v>50</v>
      </c>
      <c r="K4" s="25"/>
      <c r="L4" s="25"/>
      <c r="M4" s="25">
        <v>1</v>
      </c>
    </row>
    <row r="5" spans="2:13" ht="15.75" thickBot="1" x14ac:dyDescent="0.3">
      <c r="B5" s="9" t="s">
        <v>15</v>
      </c>
      <c r="C5" s="10">
        <f>COUNTIF(Tableau2[Bonté],"Mauvais")</f>
        <v>15</v>
      </c>
      <c r="D5" s="15">
        <f>C5/SUM($C$3:$C$5)</f>
        <v>0.39473684210526316</v>
      </c>
      <c r="F5" s="8" t="s">
        <v>15</v>
      </c>
      <c r="G5" s="4">
        <f>COUNTIFS(Tableau2[Bonté],"Mauvais",Tableau2[Magie],"Oui")</f>
        <v>9</v>
      </c>
      <c r="H5" s="18">
        <f>G5/C5</f>
        <v>0.6</v>
      </c>
      <c r="J5" s="24" t="s">
        <v>47</v>
      </c>
      <c r="K5" s="25">
        <v>1</v>
      </c>
      <c r="L5" s="25">
        <v>1</v>
      </c>
      <c r="M5" s="25"/>
    </row>
    <row r="6" spans="2:13" ht="15.75" thickBot="1" x14ac:dyDescent="0.3">
      <c r="F6" s="6"/>
      <c r="H6" s="7"/>
      <c r="J6" s="24" t="s">
        <v>51</v>
      </c>
      <c r="K6" s="25">
        <v>1</v>
      </c>
      <c r="L6" s="25"/>
      <c r="M6" s="25"/>
    </row>
    <row r="7" spans="2:13" x14ac:dyDescent="0.25">
      <c r="B7" s="11" t="s">
        <v>13</v>
      </c>
      <c r="C7" s="12">
        <f>COUNTIF(Tableau2[Loyauté],"Loyal")</f>
        <v>9</v>
      </c>
      <c r="D7" s="13">
        <f>C7/SUM($C$7:$C$9)</f>
        <v>0.23684210526315788</v>
      </c>
      <c r="F7" s="5" t="s">
        <v>13</v>
      </c>
      <c r="G7" s="3">
        <f>COUNTIFS(Tableau2[Loyauté],"Loyal",Tableau2[Magie],"Oui")</f>
        <v>6</v>
      </c>
      <c r="H7" s="16">
        <f>G7/C7</f>
        <v>0.66666666666666663</v>
      </c>
      <c r="J7" s="24" t="s">
        <v>46</v>
      </c>
      <c r="K7" s="25">
        <v>1</v>
      </c>
      <c r="L7" s="25">
        <v>1</v>
      </c>
      <c r="M7" s="25"/>
    </row>
    <row r="8" spans="2:13" x14ac:dyDescent="0.25">
      <c r="B8" s="6" t="s">
        <v>6</v>
      </c>
      <c r="C8">
        <f>COUNTIF(Tableau2[Loyauté],"Neutre")</f>
        <v>16</v>
      </c>
      <c r="D8" s="14">
        <f>C8/SUM($C$7:$C$9)</f>
        <v>0.42105263157894735</v>
      </c>
      <c r="F8" s="6" t="s">
        <v>6</v>
      </c>
      <c r="G8">
        <f>COUNTIFS(Tableau2[Loyauté],"Neutre",Tableau2[Magie],"Oui")</f>
        <v>11</v>
      </c>
      <c r="H8" s="17">
        <f>G8/C8</f>
        <v>0.6875</v>
      </c>
      <c r="J8" s="24" t="s">
        <v>49</v>
      </c>
      <c r="K8" s="25"/>
      <c r="L8" s="25"/>
      <c r="M8" s="25">
        <v>1</v>
      </c>
    </row>
    <row r="9" spans="2:13" ht="15.75" thickBot="1" x14ac:dyDescent="0.3">
      <c r="B9" s="9" t="s">
        <v>14</v>
      </c>
      <c r="C9" s="10">
        <f>COUNTIF(Tableau2[Loyauté],"Chaotique")</f>
        <v>13</v>
      </c>
      <c r="D9" s="15">
        <f>C9/SUM($C$7:$C$9)</f>
        <v>0.34210526315789475</v>
      </c>
      <c r="F9" s="9" t="s">
        <v>14</v>
      </c>
      <c r="G9" s="10">
        <f>COUNTIFS(Tableau2[Loyauté],"Chaotique",Tableau2[Magie],"Oui")</f>
        <v>8</v>
      </c>
      <c r="H9" s="19">
        <f>G9/C9</f>
        <v>0.61538461538461542</v>
      </c>
      <c r="J9" s="24" t="s">
        <v>52</v>
      </c>
      <c r="K9" s="25"/>
      <c r="L9" s="25">
        <v>1</v>
      </c>
      <c r="M9" s="25"/>
    </row>
    <row r="10" spans="2:13" ht="15.75" thickBot="1" x14ac:dyDescent="0.3">
      <c r="J10" s="24" t="s">
        <v>48</v>
      </c>
      <c r="K10" s="25"/>
      <c r="L10" s="25">
        <v>1</v>
      </c>
      <c r="M10" s="25">
        <v>1</v>
      </c>
    </row>
    <row r="11" spans="2:13" x14ac:dyDescent="0.25">
      <c r="B11" s="11" t="s">
        <v>46</v>
      </c>
      <c r="C11" s="12">
        <f>COUNTIF(Tableau2[Stat favorite],"Force")</f>
        <v>3</v>
      </c>
      <c r="D11" s="13">
        <f t="shared" ref="D11:D17" si="0">C11/SUM($C$11:$C$17)</f>
        <v>0.2</v>
      </c>
      <c r="F11" s="20" t="s">
        <v>43</v>
      </c>
      <c r="G11" s="21"/>
      <c r="H11" s="22"/>
    </row>
    <row r="12" spans="2:13" x14ac:dyDescent="0.25">
      <c r="B12" s="6" t="s">
        <v>47</v>
      </c>
      <c r="C12">
        <f>COUNTIF(Tableau2[Stat favorite],"Dextérité")</f>
        <v>2</v>
      </c>
      <c r="D12" s="14">
        <f t="shared" si="0"/>
        <v>0.13333333333333333</v>
      </c>
      <c r="F12" s="5" t="s">
        <v>16</v>
      </c>
      <c r="G12" s="3">
        <f>COUNTIFS(Tableau2[Bonté],"Bon",Tableau2[Magie],"Non")</f>
        <v>2</v>
      </c>
      <c r="H12" s="16">
        <f>G12/C3</f>
        <v>0.33333333333333331</v>
      </c>
    </row>
    <row r="13" spans="2:13" x14ac:dyDescent="0.25">
      <c r="B13" s="6" t="s">
        <v>48</v>
      </c>
      <c r="C13">
        <f>COUNTIF(Tableau2[Stat favorite],"Résilience")</f>
        <v>3</v>
      </c>
      <c r="D13" s="14">
        <f t="shared" si="0"/>
        <v>0.2</v>
      </c>
      <c r="F13" s="6" t="s">
        <v>6</v>
      </c>
      <c r="G13">
        <f>COUNTIFS(Tableau2[Bonté],"Neutre",Tableau2[Magie],"Non")</f>
        <v>5</v>
      </c>
      <c r="H13" s="17">
        <f>G13/C4</f>
        <v>0.29411764705882354</v>
      </c>
      <c r="J13" s="23" t="s">
        <v>80</v>
      </c>
      <c r="K13" s="23" t="s">
        <v>79</v>
      </c>
    </row>
    <row r="14" spans="2:13" x14ac:dyDescent="0.25">
      <c r="B14" s="6" t="s">
        <v>49</v>
      </c>
      <c r="C14">
        <f>COUNTIF(Tableau2[Stat favorite],"Intelligence")</f>
        <v>2</v>
      </c>
      <c r="D14" s="14">
        <f t="shared" si="0"/>
        <v>0.13333333333333333</v>
      </c>
      <c r="F14" s="8" t="s">
        <v>15</v>
      </c>
      <c r="G14" s="4">
        <f>COUNTIFS(Tableau2[Bonté],"Mauvais",Tableau2[Magie],"Non")</f>
        <v>6</v>
      </c>
      <c r="H14" s="18">
        <f>G14/C5</f>
        <v>0.4</v>
      </c>
      <c r="J14" s="23" t="s">
        <v>78</v>
      </c>
      <c r="K14" t="s">
        <v>14</v>
      </c>
      <c r="L14" t="s">
        <v>6</v>
      </c>
    </row>
    <row r="15" spans="2:13" x14ac:dyDescent="0.25">
      <c r="B15" s="6" t="s">
        <v>50</v>
      </c>
      <c r="C15">
        <f>COUNTIF(Tableau2[Stat favorite],"Curiosité")</f>
        <v>2</v>
      </c>
      <c r="D15" s="14">
        <f t="shared" si="0"/>
        <v>0.13333333333333333</v>
      </c>
      <c r="F15" s="6"/>
      <c r="H15" s="7"/>
      <c r="J15" s="24" t="s">
        <v>50</v>
      </c>
      <c r="K15" s="25"/>
      <c r="L15" s="25">
        <v>1</v>
      </c>
    </row>
    <row r="16" spans="2:13" x14ac:dyDescent="0.25">
      <c r="B16" s="6" t="s">
        <v>51</v>
      </c>
      <c r="C16">
        <f>COUNTIF(Tableau2[Stat favorite],"Éloquence")</f>
        <v>1</v>
      </c>
      <c r="D16" s="14">
        <f t="shared" si="0"/>
        <v>6.6666666666666666E-2</v>
      </c>
      <c r="F16" s="5" t="s">
        <v>13</v>
      </c>
      <c r="G16" s="3">
        <f>COUNTIFS(Tableau2[Loyauté],"Loyal",Tableau2[Magie],"Non")</f>
        <v>3</v>
      </c>
      <c r="H16" s="16">
        <f>G16/C7</f>
        <v>0.33333333333333331</v>
      </c>
      <c r="J16" s="24" t="s">
        <v>47</v>
      </c>
      <c r="K16" s="25">
        <v>1</v>
      </c>
      <c r="L16" s="25">
        <v>1</v>
      </c>
    </row>
    <row r="17" spans="2:12" ht="15.75" thickBot="1" x14ac:dyDescent="0.3">
      <c r="B17" s="9" t="s">
        <v>52</v>
      </c>
      <c r="C17" s="10">
        <f>COUNTIF(Tableau2[Stat favorite],"Psyché")</f>
        <v>2</v>
      </c>
      <c r="D17" s="15">
        <f t="shared" si="0"/>
        <v>0.13333333333333333</v>
      </c>
      <c r="F17" s="6" t="s">
        <v>6</v>
      </c>
      <c r="G17">
        <f>COUNTIFS(Tableau2[Loyauté],"Neutre",Tableau2[Magie],"Non")</f>
        <v>5</v>
      </c>
      <c r="H17" s="17">
        <f>G17/C8</f>
        <v>0.3125</v>
      </c>
      <c r="J17" s="24" t="s">
        <v>51</v>
      </c>
      <c r="K17" s="25">
        <v>1</v>
      </c>
      <c r="L17" s="25"/>
    </row>
    <row r="18" spans="2:12" ht="15.75" thickBot="1" x14ac:dyDescent="0.3">
      <c r="F18" s="9" t="s">
        <v>14</v>
      </c>
      <c r="G18" s="10">
        <f>COUNTIFS(Tableau2[Loyauté],"Chaotique",Tableau2[Magie],"Non")</f>
        <v>5</v>
      </c>
      <c r="H18" s="19">
        <f>G18/C9</f>
        <v>0.38461538461538464</v>
      </c>
      <c r="J18" s="24" t="s">
        <v>46</v>
      </c>
      <c r="K18" s="25">
        <v>1</v>
      </c>
      <c r="L18" s="25">
        <v>1</v>
      </c>
    </row>
    <row r="19" spans="2:12" x14ac:dyDescent="0.25">
      <c r="J19" s="24" t="s">
        <v>49</v>
      </c>
      <c r="K19" s="25">
        <v>1</v>
      </c>
      <c r="L19" s="25"/>
    </row>
    <row r="20" spans="2:12" x14ac:dyDescent="0.25">
      <c r="J20" s="24" t="s">
        <v>52</v>
      </c>
      <c r="K20" s="25"/>
      <c r="L20" s="25">
        <v>1</v>
      </c>
    </row>
    <row r="21" spans="2:12" x14ac:dyDescent="0.25">
      <c r="J21" s="24" t="s">
        <v>48</v>
      </c>
      <c r="K21" s="25">
        <v>2</v>
      </c>
      <c r="L21" s="25"/>
    </row>
  </sheetData>
  <mergeCells count="2">
    <mergeCell ref="F2:H2"/>
    <mergeCell ref="F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S39"/>
  <sheetViews>
    <sheetView tabSelected="1" workbookViewId="0">
      <selection activeCell="U16" sqref="U16"/>
    </sheetView>
  </sheetViews>
  <sheetFormatPr baseColWidth="10" defaultRowHeight="15" x14ac:dyDescent="0.25"/>
  <cols>
    <col min="1" max="1" width="15.140625" customWidth="1"/>
    <col min="2" max="2" width="11.42578125" bestFit="1" customWidth="1"/>
    <col min="3" max="4" width="12.140625" customWidth="1"/>
    <col min="5" max="5" width="9.7109375" bestFit="1" customWidth="1"/>
    <col min="8" max="8" width="12.85546875" bestFit="1" customWidth="1"/>
    <col min="9" max="10" width="13.5703125" customWidth="1"/>
    <col min="11" max="11" width="11.42578125" bestFit="1" customWidth="1"/>
    <col min="12" max="12" width="14.140625" bestFit="1" customWidth="1"/>
    <col min="13" max="13" width="18.85546875" bestFit="1" customWidth="1"/>
    <col min="14" max="14" width="8.5703125" hidden="1" customWidth="1"/>
    <col min="15" max="15" width="10.28515625" hidden="1" customWidth="1"/>
    <col min="17" max="17" width="2.85546875" customWidth="1"/>
  </cols>
  <sheetData>
    <row r="1" spans="1:19" x14ac:dyDescent="0.25">
      <c r="A1" t="s">
        <v>37</v>
      </c>
      <c r="B1" t="s">
        <v>38</v>
      </c>
      <c r="C1" t="s">
        <v>86</v>
      </c>
      <c r="D1" t="s">
        <v>32</v>
      </c>
      <c r="E1" t="s">
        <v>39</v>
      </c>
      <c r="F1" t="s">
        <v>33</v>
      </c>
      <c r="G1" t="s">
        <v>34</v>
      </c>
      <c r="H1" t="s">
        <v>40</v>
      </c>
      <c r="I1" t="s">
        <v>35</v>
      </c>
      <c r="J1" t="s">
        <v>36</v>
      </c>
      <c r="K1" t="s">
        <v>87</v>
      </c>
      <c r="L1" t="s">
        <v>45</v>
      </c>
      <c r="M1" t="s">
        <v>4</v>
      </c>
      <c r="N1" t="s">
        <v>2</v>
      </c>
      <c r="O1" t="s">
        <v>3</v>
      </c>
      <c r="P1" t="s">
        <v>41</v>
      </c>
      <c r="Q1" t="s">
        <v>44</v>
      </c>
    </row>
    <row r="2" spans="1:19" x14ac:dyDescent="0.25">
      <c r="A2" s="1" t="s">
        <v>73</v>
      </c>
      <c r="B2" t="str">
        <f>Tableau2[[#This Row],[Phy min]] &amp; " - " &amp; Tableau2[[#This Row],[Phy max]]</f>
        <v xml:space="preserve"> - </v>
      </c>
      <c r="C2" s="2"/>
      <c r="D2" s="2"/>
      <c r="E2" t="str">
        <f>Tableau2[[#This Row],[Men min]] &amp; " - " &amp; Tableau2[[#This Row],[Men max]]</f>
        <v xml:space="preserve"> - </v>
      </c>
      <c r="F2" s="2"/>
      <c r="G2" s="2"/>
      <c r="H2" t="str">
        <f>Tableau2[[#This Row],[Cha min]] &amp; " - " &amp; Tableau2[[#This Row],[Cha max]]</f>
        <v xml:space="preserve"> - </v>
      </c>
      <c r="I2" s="2"/>
      <c r="J2" s="2"/>
      <c r="K2" s="2">
        <f>Tableau2[[#This Row],[Phy min]]+Tableau2[[#This Row],[Men min]]+Tableau2[[#This Row],[Cha min]]</f>
        <v>0</v>
      </c>
      <c r="L2" s="2" t="s">
        <v>47</v>
      </c>
      <c r="M2" s="1" t="s">
        <v>7</v>
      </c>
      <c r="N2" t="str">
        <f>IFERROR(VLOOKUP(Tableau2[[#This Row],[Alignement]],Alignement[],2,FALSE),"")</f>
        <v>Bon</v>
      </c>
      <c r="O2" t="str">
        <f>IFERROR(VLOOKUP(Tableau2[[#This Row],[Alignement]],Alignement[],3,FALSE),"")</f>
        <v>Chaotique</v>
      </c>
      <c r="P2" s="1" t="s">
        <v>0</v>
      </c>
      <c r="Q2">
        <f>IF(AND(AND(Tableau2[[#This Row],[Magie]]="Oui",Tableau2[[#This Row],[Men min]]&lt;8,Tableau2[[#This Row],[Mental]]&lt;&gt;"Special"),Tableau2[[#This Row],[Min stats]]&lt;40),0,1)</f>
        <v>0</v>
      </c>
      <c r="S2" t="s">
        <v>81</v>
      </c>
    </row>
    <row r="3" spans="1:19" x14ac:dyDescent="0.25">
      <c r="A3" t="s">
        <v>53</v>
      </c>
      <c r="B3" t="str">
        <f>Tableau2[[#This Row],[Phy min]] &amp; " - " &amp; Tableau2[[#This Row],[Phy max]]</f>
        <v xml:space="preserve"> - </v>
      </c>
      <c r="C3" s="2"/>
      <c r="D3" s="2"/>
      <c r="E3" t="str">
        <f>Tableau2[[#This Row],[Men min]] &amp; " - " &amp; Tableau2[[#This Row],[Men max]]</f>
        <v xml:space="preserve"> - </v>
      </c>
      <c r="F3" s="2"/>
      <c r="G3" s="2"/>
      <c r="H3" t="str">
        <f>Tableau2[[#This Row],[Cha min]] &amp; " - " &amp; Tableau2[[#This Row],[Cha max]]</f>
        <v xml:space="preserve"> - </v>
      </c>
      <c r="I3" s="2"/>
      <c r="J3" s="2"/>
      <c r="K3" s="2">
        <f>Tableau2[[#This Row],[Phy min]]+Tableau2[[#This Row],[Men min]]+Tableau2[[#This Row],[Cha min]]</f>
        <v>0</v>
      </c>
      <c r="L3" s="2" t="s">
        <v>50</v>
      </c>
      <c r="M3" s="1" t="s">
        <v>7</v>
      </c>
      <c r="N3" t="str">
        <f>IFERROR(VLOOKUP(Tableau2[[#This Row],[Alignement]],Alignement[],2,FALSE),"")</f>
        <v>Bon</v>
      </c>
      <c r="O3" t="str">
        <f>IFERROR(VLOOKUP(Tableau2[[#This Row],[Alignement]],Alignement[],3,FALSE),"")</f>
        <v>Chaotique</v>
      </c>
      <c r="P3" t="s">
        <v>0</v>
      </c>
      <c r="Q3">
        <f>IF(AND(AND(Tableau2[[#This Row],[Magie]]="Oui",Tableau2[[#This Row],[Men min]]&lt;8,Tableau2[[#This Row],[Mental]]&lt;&gt;"Special"),Tableau2[[#This Row],[Min stats]]&lt;40),0,1)</f>
        <v>0</v>
      </c>
      <c r="S3" t="s">
        <v>85</v>
      </c>
    </row>
    <row r="4" spans="1:19" x14ac:dyDescent="0.25">
      <c r="A4" s="1" t="s">
        <v>64</v>
      </c>
      <c r="B4" t="str">
        <f>Tableau2[[#This Row],[Phy min]] &amp; " - " &amp; Tableau2[[#This Row],[Phy max]]</f>
        <v xml:space="preserve"> - </v>
      </c>
      <c r="C4" s="2"/>
      <c r="D4" s="2"/>
      <c r="E4" t="str">
        <f>Tableau2[[#This Row],[Men min]] &amp; " - " &amp; Tableau2[[#This Row],[Men max]]</f>
        <v xml:space="preserve"> - </v>
      </c>
      <c r="F4" s="2"/>
      <c r="G4" s="2"/>
      <c r="H4" t="str">
        <f>Tableau2[[#This Row],[Cha min]] &amp; " - " &amp; Tableau2[[#This Row],[Cha max]]</f>
        <v xml:space="preserve"> - </v>
      </c>
      <c r="I4" s="2"/>
      <c r="J4" s="2"/>
      <c r="K4" s="2">
        <f>Tableau2[[#This Row],[Phy min]]+Tableau2[[#This Row],[Men min]]+Tableau2[[#This Row],[Cha min]]</f>
        <v>0</v>
      </c>
      <c r="L4" s="2" t="s">
        <v>49</v>
      </c>
      <c r="M4" s="1" t="s">
        <v>9</v>
      </c>
      <c r="N4" t="str">
        <f>IFERROR(VLOOKUP(Tableau2[[#This Row],[Alignement]],Alignement[],2,FALSE),"")</f>
        <v>Mauvais</v>
      </c>
      <c r="O4" t="str">
        <f>IFERROR(VLOOKUP(Tableau2[[#This Row],[Alignement]],Alignement[],3,FALSE),"")</f>
        <v>Chaotique</v>
      </c>
      <c r="P4" s="1" t="s">
        <v>0</v>
      </c>
      <c r="Q4">
        <f>IF(AND(AND(Tableau2[[#This Row],[Magie]]="Oui",Tableau2[[#This Row],[Men min]]&lt;8,Tableau2[[#This Row],[Mental]]&lt;&gt;"Special"),Tableau2[[#This Row],[Min stats]]&lt;40),0,1)</f>
        <v>0</v>
      </c>
    </row>
    <row r="5" spans="1:19" x14ac:dyDescent="0.25">
      <c r="A5" s="1" t="s">
        <v>60</v>
      </c>
      <c r="B5" t="str">
        <f>Tableau2[[#This Row],[Phy min]] &amp; " - " &amp; Tableau2[[#This Row],[Phy max]]</f>
        <v xml:space="preserve"> - </v>
      </c>
      <c r="C5" s="2"/>
      <c r="D5" s="2"/>
      <c r="E5" t="str">
        <f>Tableau2[[#This Row],[Men min]] &amp; " - " &amp; Tableau2[[#This Row],[Men max]]</f>
        <v xml:space="preserve"> - </v>
      </c>
      <c r="F5" s="2"/>
      <c r="G5" s="2"/>
      <c r="H5" t="str">
        <f>Tableau2[[#This Row],[Cha min]] &amp; " - " &amp; Tableau2[[#This Row],[Cha max]]</f>
        <v xml:space="preserve"> - </v>
      </c>
      <c r="I5" s="2"/>
      <c r="J5" s="2"/>
      <c r="K5" s="2">
        <f>Tableau2[[#This Row],[Phy min]]+Tableau2[[#This Row],[Men min]]+Tableau2[[#This Row],[Cha min]]</f>
        <v>0</v>
      </c>
      <c r="L5" s="2" t="s">
        <v>48</v>
      </c>
      <c r="M5" s="1" t="s">
        <v>9</v>
      </c>
      <c r="N5" t="str">
        <f>IFERROR(VLOOKUP(Tableau2[[#This Row],[Alignement]],Alignement[],2,FALSE),"")</f>
        <v>Mauvais</v>
      </c>
      <c r="O5" t="str">
        <f>IFERROR(VLOOKUP(Tableau2[[#This Row],[Alignement]],Alignement[],3,FALSE),"")</f>
        <v>Chaotique</v>
      </c>
      <c r="P5" s="1" t="s">
        <v>0</v>
      </c>
      <c r="Q5">
        <f>IF(AND(AND(Tableau2[[#This Row],[Magie]]="Oui",Tableau2[[#This Row],[Men min]]&lt;8,Tableau2[[#This Row],[Mental]]&lt;&gt;"Special"),Tableau2[[#This Row],[Min stats]]&lt;40),0,1)</f>
        <v>0</v>
      </c>
      <c r="S5" t="s">
        <v>82</v>
      </c>
    </row>
    <row r="6" spans="1:19" x14ac:dyDescent="0.25">
      <c r="A6" s="1" t="s">
        <v>77</v>
      </c>
      <c r="B6" t="str">
        <f>Tableau2[[#This Row],[Phy min]] &amp; " - " &amp; Tableau2[[#This Row],[Phy max]]</f>
        <v xml:space="preserve"> - </v>
      </c>
      <c r="C6" s="2"/>
      <c r="D6" s="2"/>
      <c r="E6" t="str">
        <f>Tableau2[[#This Row],[Men min]] &amp; " - " &amp; Tableau2[[#This Row],[Men max]]</f>
        <v xml:space="preserve"> - </v>
      </c>
      <c r="F6" s="2"/>
      <c r="G6" s="2"/>
      <c r="H6" t="str">
        <f>Tableau2[[#This Row],[Cha min]] &amp; " - " &amp; Tableau2[[#This Row],[Cha max]]</f>
        <v xml:space="preserve"> - </v>
      </c>
      <c r="I6" s="2"/>
      <c r="J6" s="2"/>
      <c r="K6" s="2">
        <f>Tableau2[[#This Row],[Phy min]]+Tableau2[[#This Row],[Men min]]+Tableau2[[#This Row],[Cha min]]</f>
        <v>0</v>
      </c>
      <c r="L6" s="2" t="s">
        <v>52</v>
      </c>
      <c r="M6" s="1" t="s">
        <v>9</v>
      </c>
      <c r="N6" t="str">
        <f>IFERROR(VLOOKUP(Tableau2[[#This Row],[Alignement]],Alignement[],2,FALSE),"")</f>
        <v>Mauvais</v>
      </c>
      <c r="O6" t="str">
        <f>IFERROR(VLOOKUP(Tableau2[[#This Row],[Alignement]],Alignement[],3,FALSE),"")</f>
        <v>Chaotique</v>
      </c>
      <c r="P6" s="1" t="s">
        <v>17</v>
      </c>
      <c r="Q6">
        <f>IF(AND(AND(Tableau2[[#This Row],[Magie]]="Oui",Tableau2[[#This Row],[Men min]]&lt;8,Tableau2[[#This Row],[Mental]]&lt;&gt;"Special"),Tableau2[[#This Row],[Min stats]]&lt;40),0,1)</f>
        <v>1</v>
      </c>
      <c r="S6" t="s">
        <v>83</v>
      </c>
    </row>
    <row r="7" spans="1:19" x14ac:dyDescent="0.25">
      <c r="A7" s="1" t="s">
        <v>58</v>
      </c>
      <c r="B7" t="str">
        <f>Tableau2[[#This Row],[Phy min]] &amp; " - " &amp; Tableau2[[#This Row],[Phy max]]</f>
        <v xml:space="preserve"> - </v>
      </c>
      <c r="C7" s="2"/>
      <c r="D7" s="2"/>
      <c r="E7" t="str">
        <f>Tableau2[[#This Row],[Men min]] &amp; " - " &amp; Tableau2[[#This Row],[Men max]]</f>
        <v xml:space="preserve"> - </v>
      </c>
      <c r="F7" s="2"/>
      <c r="G7" s="2"/>
      <c r="H7" t="str">
        <f>Tableau2[[#This Row],[Cha min]] &amp; " - " &amp; Tableau2[[#This Row],[Cha max]]</f>
        <v xml:space="preserve"> - </v>
      </c>
      <c r="I7" s="2"/>
      <c r="J7" s="2"/>
      <c r="K7" s="2">
        <f>Tableau2[[#This Row],[Phy min]]+Tableau2[[#This Row],[Men min]]+Tableau2[[#This Row],[Cha min]]</f>
        <v>0</v>
      </c>
      <c r="L7" s="2" t="s">
        <v>46</v>
      </c>
      <c r="M7" s="1" t="s">
        <v>9</v>
      </c>
      <c r="N7" t="str">
        <f>IFERROR(VLOOKUP(Tableau2[[#This Row],[Alignement]],Alignement[],2,FALSE),"")</f>
        <v>Mauvais</v>
      </c>
      <c r="O7" t="str">
        <f>IFERROR(VLOOKUP(Tableau2[[#This Row],[Alignement]],Alignement[],3,FALSE),"")</f>
        <v>Chaotique</v>
      </c>
      <c r="P7" s="1" t="s">
        <v>0</v>
      </c>
      <c r="Q7">
        <f>IF(AND(AND(Tableau2[[#This Row],[Magie]]="Oui",Tableau2[[#This Row],[Men min]]&lt;8,Tableau2[[#This Row],[Mental]]&lt;&gt;"Special"),Tableau2[[#This Row],[Min stats]]&lt;40),0,1)</f>
        <v>0</v>
      </c>
    </row>
    <row r="8" spans="1:19" x14ac:dyDescent="0.25">
      <c r="A8" s="1" t="s">
        <v>22</v>
      </c>
      <c r="B8" t="str">
        <f>Tableau2[[#This Row],[Phy min]] &amp; " - " &amp; Tableau2[[#This Row],[Phy max]]</f>
        <v xml:space="preserve"> - </v>
      </c>
      <c r="C8" s="2"/>
      <c r="D8" s="2"/>
      <c r="E8" t="str">
        <f>Tableau2[[#This Row],[Men min]] &amp; " - " &amp; Tableau2[[#This Row],[Men max]]</f>
        <v xml:space="preserve"> - </v>
      </c>
      <c r="F8" s="2"/>
      <c r="G8" s="2"/>
      <c r="H8" t="str">
        <f>Tableau2[[#This Row],[Cha min]] &amp; " - " &amp; Tableau2[[#This Row],[Cha max]]</f>
        <v xml:space="preserve"> - </v>
      </c>
      <c r="I8" s="2"/>
      <c r="J8" s="2"/>
      <c r="K8" s="2">
        <f>Tableau2[[#This Row],[Phy min]]+Tableau2[[#This Row],[Men min]]+Tableau2[[#This Row],[Cha min]]</f>
        <v>0</v>
      </c>
      <c r="L8" s="2" t="s">
        <v>46</v>
      </c>
      <c r="M8" s="1" t="s">
        <v>9</v>
      </c>
      <c r="N8" t="str">
        <f>IFERROR(VLOOKUP(Tableau2[[#This Row],[Alignement]],Alignement[],2,FALSE),"")</f>
        <v>Mauvais</v>
      </c>
      <c r="O8" t="str">
        <f>IFERROR(VLOOKUP(Tableau2[[#This Row],[Alignement]],Alignement[],3,FALSE),"")</f>
        <v>Chaotique</v>
      </c>
      <c r="P8" s="1" t="s">
        <v>17</v>
      </c>
      <c r="Q8">
        <f>IF(AND(AND(Tableau2[[#This Row],[Magie]]="Oui",Tableau2[[#This Row],[Men min]]&lt;8,Tableau2[[#This Row],[Mental]]&lt;&gt;"Special"),Tableau2[[#This Row],[Min stats]]&lt;40),0,1)</f>
        <v>1</v>
      </c>
      <c r="S8" t="s">
        <v>84</v>
      </c>
    </row>
    <row r="9" spans="1:19" x14ac:dyDescent="0.25">
      <c r="A9" s="1" t="s">
        <v>27</v>
      </c>
      <c r="B9" t="str">
        <f>Tableau2[[#This Row],[Phy min]] &amp; " - " &amp; Tableau2[[#This Row],[Phy max]]</f>
        <v>0 - 10</v>
      </c>
      <c r="C9" s="2">
        <v>0</v>
      </c>
      <c r="D9" s="2">
        <v>10</v>
      </c>
      <c r="E9" t="str">
        <f>Tableau2[[#This Row],[Men min]] &amp; " - " &amp; Tableau2[[#This Row],[Men max]]</f>
        <v>15 - 30</v>
      </c>
      <c r="F9" s="2">
        <v>15</v>
      </c>
      <c r="G9" s="2">
        <v>30</v>
      </c>
      <c r="H9" t="str">
        <f>Tableau2[[#This Row],[Cha min]] &amp; " - " &amp; Tableau2[[#This Row],[Cha max]]</f>
        <v>10 - 18</v>
      </c>
      <c r="I9" s="2">
        <v>10</v>
      </c>
      <c r="J9" s="2">
        <v>18</v>
      </c>
      <c r="K9" s="2">
        <f>Tableau2[[#This Row],[Phy min]]+Tableau2[[#This Row],[Men min]]+Tableau2[[#This Row],[Cha min]]</f>
        <v>25</v>
      </c>
      <c r="L9" s="2" t="s">
        <v>49</v>
      </c>
      <c r="M9" s="1" t="s">
        <v>5</v>
      </c>
      <c r="N9" t="str">
        <f>IFERROR(VLOOKUP(Tableau2[[#This Row],[Alignement]],Alignement[],2,FALSE),"")</f>
        <v>Neutre</v>
      </c>
      <c r="O9" t="str">
        <f>IFERROR(VLOOKUP(Tableau2[[#This Row],[Alignement]],Alignement[],3,FALSE),"")</f>
        <v>Chaotique</v>
      </c>
      <c r="P9" s="1" t="s">
        <v>0</v>
      </c>
      <c r="Q9">
        <f>IF(AND(AND(Tableau2[[#This Row],[Magie]]="Oui",Tableau2[[#This Row],[Men min]]&lt;8,Tableau2[[#This Row],[Mental]]&lt;&gt;"Special"),Tableau2[[#This Row],[Min stats]]&lt;40),0,1)</f>
        <v>1</v>
      </c>
    </row>
    <row r="10" spans="1:19" x14ac:dyDescent="0.25">
      <c r="A10" s="1" t="s">
        <v>69</v>
      </c>
      <c r="B10" t="str">
        <f>Tableau2[[#This Row],[Phy min]] &amp; " - " &amp; Tableau2[[#This Row],[Phy max]]</f>
        <v xml:space="preserve"> - </v>
      </c>
      <c r="C10" s="2"/>
      <c r="D10" s="2"/>
      <c r="E10" t="str">
        <f>Tableau2[[#This Row],[Men min]] &amp; " - " &amp; Tableau2[[#This Row],[Men max]]</f>
        <v xml:space="preserve"> - </v>
      </c>
      <c r="F10" s="2"/>
      <c r="G10" s="2"/>
      <c r="H10" t="str">
        <f>Tableau2[[#This Row],[Cha min]] &amp; " - " &amp; Tableau2[[#This Row],[Cha max]]</f>
        <v xml:space="preserve"> - </v>
      </c>
      <c r="I10" s="2"/>
      <c r="J10" s="2"/>
      <c r="K10" s="2">
        <f>Tableau2[[#This Row],[Phy min]]+Tableau2[[#This Row],[Men min]]+Tableau2[[#This Row],[Cha min]]</f>
        <v>0</v>
      </c>
      <c r="L10" s="2" t="s">
        <v>48</v>
      </c>
      <c r="M10" s="1" t="s">
        <v>5</v>
      </c>
      <c r="N10" t="str">
        <f>IFERROR(VLOOKUP(Tableau2[[#This Row],[Alignement]],Alignement[],2,FALSE),"")</f>
        <v>Neutre</v>
      </c>
      <c r="O10" t="str">
        <f>IFERROR(VLOOKUP(Tableau2[[#This Row],[Alignement]],Alignement[],3,FALSE),"")</f>
        <v>Chaotique</v>
      </c>
      <c r="P10" t="s">
        <v>17</v>
      </c>
      <c r="Q10">
        <f>IF(AND(AND(Tableau2[[#This Row],[Magie]]="Oui",Tableau2[[#This Row],[Men min]]&lt;8,Tableau2[[#This Row],[Mental]]&lt;&gt;"Special"),Tableau2[[#This Row],[Min stats]]&lt;40),0,1)</f>
        <v>1</v>
      </c>
    </row>
    <row r="11" spans="1:19" x14ac:dyDescent="0.25">
      <c r="A11" s="1" t="s">
        <v>28</v>
      </c>
      <c r="B11" t="str">
        <f>Tableau2[[#This Row],[Phy min]] &amp; " - " &amp; Tableau2[[#This Row],[Phy max]]</f>
        <v>15 - 30</v>
      </c>
      <c r="C11" s="2">
        <v>15</v>
      </c>
      <c r="D11" s="2">
        <v>30</v>
      </c>
      <c r="E11" t="str">
        <f>Tableau2[[#This Row],[Men min]] &amp; " - " &amp; Tableau2[[#This Row],[Men max]]</f>
        <v>0 - 10</v>
      </c>
      <c r="F11" s="2">
        <v>0</v>
      </c>
      <c r="G11" s="2">
        <v>10</v>
      </c>
      <c r="H11" t="str">
        <f>Tableau2[[#This Row],[Cha min]] &amp; " - " &amp; Tableau2[[#This Row],[Cha max]]</f>
        <v>5 - 20</v>
      </c>
      <c r="I11" s="2">
        <v>5</v>
      </c>
      <c r="J11" s="2">
        <v>20</v>
      </c>
      <c r="K11" s="2">
        <f>Tableau2[[#This Row],[Phy min]]+Tableau2[[#This Row],[Men min]]+Tableau2[[#This Row],[Cha min]]</f>
        <v>20</v>
      </c>
      <c r="L11" s="2" t="s">
        <v>48</v>
      </c>
      <c r="M11" s="1" t="s">
        <v>5</v>
      </c>
      <c r="N11" t="str">
        <f>IFERROR(VLOOKUP(Tableau2[[#This Row],[Alignement]],Alignement[],2,FALSE),"")</f>
        <v>Neutre</v>
      </c>
      <c r="O11" t="str">
        <f>IFERROR(VLOOKUP(Tableau2[[#This Row],[Alignement]],Alignement[],3,FALSE),"")</f>
        <v>Chaotique</v>
      </c>
      <c r="P11" s="1" t="s">
        <v>17</v>
      </c>
      <c r="Q11">
        <f>IF(AND(AND(Tableau2[[#This Row],[Magie]]="Oui",Tableau2[[#This Row],[Men min]]&lt;8,Tableau2[[#This Row],[Mental]]&lt;&gt;"Special"),Tableau2[[#This Row],[Min stats]]&lt;40),0,1)</f>
        <v>1</v>
      </c>
    </row>
    <row r="12" spans="1:19" x14ac:dyDescent="0.25">
      <c r="A12" s="1" t="s">
        <v>30</v>
      </c>
      <c r="B12" t="s">
        <v>26</v>
      </c>
      <c r="C12" s="2"/>
      <c r="D12" s="2"/>
      <c r="E12" t="s">
        <v>26</v>
      </c>
      <c r="F12" s="2"/>
      <c r="G12" s="2"/>
      <c r="H12" t="s">
        <v>26</v>
      </c>
      <c r="I12" s="2"/>
      <c r="J12" s="2"/>
      <c r="K12" s="2">
        <f>Tableau2[[#This Row],[Phy min]]+Tableau2[[#This Row],[Men min]]+Tableau2[[#This Row],[Cha min]]</f>
        <v>0</v>
      </c>
      <c r="L12" s="2"/>
      <c r="M12" s="1" t="s">
        <v>5</v>
      </c>
      <c r="N12" t="str">
        <f>IFERROR(VLOOKUP(Tableau2[[#This Row],[Alignement]],Alignement[],2,FALSE),"")</f>
        <v>Neutre</v>
      </c>
      <c r="O12" t="str">
        <f>IFERROR(VLOOKUP(Tableau2[[#This Row],[Alignement]],Alignement[],3,FALSE),"")</f>
        <v>Chaotique</v>
      </c>
      <c r="P12" s="1" t="s">
        <v>0</v>
      </c>
      <c r="Q12">
        <f>IF(AND(AND(Tableau2[[#This Row],[Magie]]="Oui",Tableau2[[#This Row],[Men min]]&lt;8,Tableau2[[#This Row],[Mental]]&lt;&gt;"Special"),Tableau2[[#This Row],[Min stats]]&lt;40),0,1)</f>
        <v>1</v>
      </c>
    </row>
    <row r="13" spans="1:19" x14ac:dyDescent="0.25">
      <c r="A13" s="1" t="s">
        <v>59</v>
      </c>
      <c r="B13" t="str">
        <f>Tableau2[[#This Row],[Phy min]] &amp; " - " &amp; Tableau2[[#This Row],[Phy max]]</f>
        <v xml:space="preserve"> - </v>
      </c>
      <c r="C13" s="2"/>
      <c r="D13" s="2"/>
      <c r="E13" t="str">
        <f>Tableau2[[#This Row],[Men min]] &amp; " - " &amp; Tableau2[[#This Row],[Men max]]</f>
        <v xml:space="preserve"> - </v>
      </c>
      <c r="F13" s="2"/>
      <c r="G13" s="2"/>
      <c r="H13" t="str">
        <f>Tableau2[[#This Row],[Cha min]] &amp; " - " &amp; Tableau2[[#This Row],[Cha max]]</f>
        <v xml:space="preserve"> - </v>
      </c>
      <c r="I13" s="2"/>
      <c r="J13" s="2"/>
      <c r="K13" s="2">
        <f>Tableau2[[#This Row],[Phy min]]+Tableau2[[#This Row],[Men min]]+Tableau2[[#This Row],[Cha min]]</f>
        <v>0</v>
      </c>
      <c r="L13" s="2"/>
      <c r="M13" s="1" t="s">
        <v>5</v>
      </c>
      <c r="N13" t="str">
        <f>IFERROR(VLOOKUP(Tableau2[[#This Row],[Alignement]],Alignement[],2,FALSE),"")</f>
        <v>Neutre</v>
      </c>
      <c r="O13" t="str">
        <f>IFERROR(VLOOKUP(Tableau2[[#This Row],[Alignement]],Alignement[],3,FALSE),"")</f>
        <v>Chaotique</v>
      </c>
      <c r="P13" s="1" t="s">
        <v>17</v>
      </c>
      <c r="Q13">
        <f>IF(AND(AND(Tableau2[[#This Row],[Magie]]="Oui",Tableau2[[#This Row],[Men min]]&lt;8,Tableau2[[#This Row],[Mental]]&lt;&gt;"Special"),Tableau2[[#This Row],[Min stats]]&lt;40),0,1)</f>
        <v>1</v>
      </c>
    </row>
    <row r="14" spans="1:19" x14ac:dyDescent="0.25">
      <c r="A14" t="s">
        <v>54</v>
      </c>
      <c r="B14" t="str">
        <f>Tableau2[[#This Row],[Phy min]] &amp; " - " &amp; Tableau2[[#This Row],[Phy max]]</f>
        <v xml:space="preserve"> - </v>
      </c>
      <c r="C14" s="2"/>
      <c r="D14" s="2"/>
      <c r="E14" t="str">
        <f>Tableau2[[#This Row],[Men min]] &amp; " - " &amp; Tableau2[[#This Row],[Men max]]</f>
        <v xml:space="preserve"> - </v>
      </c>
      <c r="F14" s="2"/>
      <c r="G14" s="2"/>
      <c r="H14" t="str">
        <f>Tableau2[[#This Row],[Cha min]] &amp; " - " &amp; Tableau2[[#This Row],[Cha max]]</f>
        <v xml:space="preserve"> - </v>
      </c>
      <c r="I14" s="2"/>
      <c r="J14" s="2"/>
      <c r="K14" s="2">
        <f>Tableau2[[#This Row],[Phy min]]+Tableau2[[#This Row],[Men min]]+Tableau2[[#This Row],[Cha min]]</f>
        <v>0</v>
      </c>
      <c r="L14" s="2"/>
      <c r="M14" s="1" t="s">
        <v>5</v>
      </c>
      <c r="N14" t="str">
        <f>IFERROR(VLOOKUP(Tableau2[[#This Row],[Alignement]],Alignement[],2,FALSE),"")</f>
        <v>Neutre</v>
      </c>
      <c r="O14" t="str">
        <f>IFERROR(VLOOKUP(Tableau2[[#This Row],[Alignement]],Alignement[],3,FALSE),"")</f>
        <v>Chaotique</v>
      </c>
      <c r="P14" t="s">
        <v>0</v>
      </c>
      <c r="Q14">
        <f>IF(AND(AND(Tableau2[[#This Row],[Magie]]="Oui",Tableau2[[#This Row],[Men min]]&lt;8,Tableau2[[#This Row],[Mental]]&lt;&gt;"Special"),Tableau2[[#This Row],[Min stats]]&lt;40),0,1)</f>
        <v>0</v>
      </c>
    </row>
    <row r="15" spans="1:19" x14ac:dyDescent="0.25">
      <c r="A15" s="1" t="s">
        <v>68</v>
      </c>
      <c r="B15" t="str">
        <f>Tableau2[[#This Row],[Phy min]] &amp; " - " &amp; Tableau2[[#This Row],[Phy max]]</f>
        <v xml:space="preserve"> - </v>
      </c>
      <c r="C15" s="2"/>
      <c r="D15" s="2"/>
      <c r="E15" t="str">
        <f>Tableau2[[#This Row],[Men min]] &amp; " - " &amp; Tableau2[[#This Row],[Men max]]</f>
        <v xml:space="preserve"> - </v>
      </c>
      <c r="F15" s="2"/>
      <c r="G15" s="2"/>
      <c r="H15" t="str">
        <f>Tableau2[[#This Row],[Cha min]] &amp; " - " &amp; Tableau2[[#This Row],[Cha max]]</f>
        <v xml:space="preserve"> - </v>
      </c>
      <c r="I15" s="2"/>
      <c r="J15" s="2"/>
      <c r="K15" s="2">
        <f>Tableau2[[#This Row],[Phy min]]+Tableau2[[#This Row],[Men min]]+Tableau2[[#This Row],[Cha min]]</f>
        <v>0</v>
      </c>
      <c r="L15" s="2"/>
      <c r="M15" s="1" t="s">
        <v>11</v>
      </c>
      <c r="N15" t="str">
        <f>IFERROR(VLOOKUP(Tableau2[[#This Row],[Alignement]],Alignement[],2,FALSE),"")</f>
        <v>Bon</v>
      </c>
      <c r="O15" t="str">
        <f>IFERROR(VLOOKUP(Tableau2[[#This Row],[Alignement]],Alignement[],3,FALSE),"")</f>
        <v>Loyal</v>
      </c>
      <c r="P15" s="1" t="s">
        <v>0</v>
      </c>
      <c r="Q15">
        <f>IF(AND(AND(Tableau2[[#This Row],[Magie]]="Oui",Tableau2[[#This Row],[Men min]]&lt;8,Tableau2[[#This Row],[Mental]]&lt;&gt;"Special"),Tableau2[[#This Row],[Min stats]]&lt;40),0,1)</f>
        <v>0</v>
      </c>
    </row>
    <row r="16" spans="1:19" x14ac:dyDescent="0.25">
      <c r="A16" s="1" t="s">
        <v>70</v>
      </c>
      <c r="B16" t="str">
        <f>Tableau2[[#This Row],[Phy min]] &amp; " - " &amp; Tableau2[[#This Row],[Phy max]]</f>
        <v xml:space="preserve"> - </v>
      </c>
      <c r="C16" s="2"/>
      <c r="D16" s="2"/>
      <c r="E16" t="str">
        <f>Tableau2[[#This Row],[Men min]] &amp; " - " &amp; Tableau2[[#This Row],[Men max]]</f>
        <v xml:space="preserve"> - </v>
      </c>
      <c r="F16" s="2"/>
      <c r="G16" s="2"/>
      <c r="H16" t="str">
        <f>Tableau2[[#This Row],[Cha min]] &amp; " - " &amp; Tableau2[[#This Row],[Cha max]]</f>
        <v xml:space="preserve"> - </v>
      </c>
      <c r="I16" s="2"/>
      <c r="J16" s="2"/>
      <c r="K16" s="2">
        <f>Tableau2[[#This Row],[Phy min]]+Tableau2[[#This Row],[Men min]]+Tableau2[[#This Row],[Cha min]]</f>
        <v>0</v>
      </c>
      <c r="L16" s="2"/>
      <c r="M16" s="1" t="s">
        <v>11</v>
      </c>
      <c r="N16" t="str">
        <f>IFERROR(VLOOKUP(Tableau2[[#This Row],[Alignement]],Alignement[],2,FALSE),"")</f>
        <v>Bon</v>
      </c>
      <c r="O16" t="str">
        <f>IFERROR(VLOOKUP(Tableau2[[#This Row],[Alignement]],Alignement[],3,FALSE),"")</f>
        <v>Loyal</v>
      </c>
      <c r="P16" s="1" t="s">
        <v>0</v>
      </c>
      <c r="Q16">
        <f>IF(AND(AND(Tableau2[[#This Row],[Magie]]="Oui",Tableau2[[#This Row],[Men min]]&lt;8,Tableau2[[#This Row],[Mental]]&lt;&gt;"Special"),Tableau2[[#This Row],[Min stats]]&lt;40),0,1)</f>
        <v>0</v>
      </c>
    </row>
    <row r="17" spans="1:17" x14ac:dyDescent="0.25">
      <c r="A17" s="1" t="s">
        <v>24</v>
      </c>
      <c r="B17" t="str">
        <f>Tableau2[[#This Row],[Phy min]] &amp; " - " &amp; Tableau2[[#This Row],[Phy max]]</f>
        <v xml:space="preserve"> - </v>
      </c>
      <c r="C17" s="2"/>
      <c r="D17" s="2"/>
      <c r="E17" t="str">
        <f>Tableau2[[#This Row],[Men min]] &amp; " - " &amp; Tableau2[[#This Row],[Men max]]</f>
        <v xml:space="preserve"> - </v>
      </c>
      <c r="F17" s="2"/>
      <c r="G17" s="2"/>
      <c r="H17" t="str">
        <f>Tableau2[[#This Row],[Cha min]] &amp; " - " &amp; Tableau2[[#This Row],[Cha max]]</f>
        <v xml:space="preserve"> - </v>
      </c>
      <c r="I17" s="2"/>
      <c r="J17" s="2"/>
      <c r="K17" s="2">
        <f>Tableau2[[#This Row],[Phy min]]+Tableau2[[#This Row],[Men min]]+Tableau2[[#This Row],[Cha min]]</f>
        <v>0</v>
      </c>
      <c r="L17" s="2"/>
      <c r="M17" s="1" t="s">
        <v>12</v>
      </c>
      <c r="N17" t="str">
        <f>IFERROR(VLOOKUP(Tableau2[[#This Row],[Alignement]],Alignement[],2,FALSE),"")</f>
        <v>Mauvais</v>
      </c>
      <c r="O17" t="str">
        <f>IFERROR(VLOOKUP(Tableau2[[#This Row],[Alignement]],Alignement[],3,FALSE),"")</f>
        <v>Loyal</v>
      </c>
      <c r="P17" s="1" t="s">
        <v>17</v>
      </c>
      <c r="Q17">
        <f>IF(AND(AND(Tableau2[[#This Row],[Magie]]="Oui",Tableau2[[#This Row],[Men min]]&lt;8,Tableau2[[#This Row],[Mental]]&lt;&gt;"Special"),Tableau2[[#This Row],[Min stats]]&lt;40),0,1)</f>
        <v>1</v>
      </c>
    </row>
    <row r="18" spans="1:17" x14ac:dyDescent="0.25">
      <c r="A18" s="1" t="s">
        <v>66</v>
      </c>
      <c r="B18" t="str">
        <f>Tableau2[[#This Row],[Phy min]] &amp; " - " &amp; Tableau2[[#This Row],[Phy max]]</f>
        <v xml:space="preserve"> - </v>
      </c>
      <c r="C18" s="2"/>
      <c r="D18" s="2"/>
      <c r="E18" t="str">
        <f>Tableau2[[#This Row],[Men min]] &amp; " - " &amp; Tableau2[[#This Row],[Men max]]</f>
        <v xml:space="preserve"> - </v>
      </c>
      <c r="F18" s="2"/>
      <c r="G18" s="2"/>
      <c r="H18" t="str">
        <f>Tableau2[[#This Row],[Cha min]] &amp; " - " &amp; Tableau2[[#This Row],[Cha max]]</f>
        <v xml:space="preserve"> - </v>
      </c>
      <c r="I18" s="2"/>
      <c r="J18" s="2"/>
      <c r="K18" s="2">
        <f>Tableau2[[#This Row],[Phy min]]+Tableau2[[#This Row],[Men min]]+Tableau2[[#This Row],[Cha min]]</f>
        <v>0</v>
      </c>
      <c r="L18" s="2"/>
      <c r="M18" s="1" t="s">
        <v>12</v>
      </c>
      <c r="N18" t="str">
        <f>IFERROR(VLOOKUP(Tableau2[[#This Row],[Alignement]],Alignement[],2,FALSE),"")</f>
        <v>Mauvais</v>
      </c>
      <c r="O18" t="str">
        <f>IFERROR(VLOOKUP(Tableau2[[#This Row],[Alignement]],Alignement[],3,FALSE),"")</f>
        <v>Loyal</v>
      </c>
      <c r="P18" s="1" t="s">
        <v>0</v>
      </c>
      <c r="Q18">
        <f>IF(AND(AND(Tableau2[[#This Row],[Magie]]="Oui",Tableau2[[#This Row],[Men min]]&lt;8,Tableau2[[#This Row],[Mental]]&lt;&gt;"Special"),Tableau2[[#This Row],[Min stats]]&lt;40),0,1)</f>
        <v>0</v>
      </c>
    </row>
    <row r="19" spans="1:17" x14ac:dyDescent="0.25">
      <c r="A19" s="1" t="s">
        <v>74</v>
      </c>
      <c r="B19" t="str">
        <f>Tableau2[[#This Row],[Phy min]] &amp; " - " &amp; Tableau2[[#This Row],[Phy max]]</f>
        <v xml:space="preserve"> - </v>
      </c>
      <c r="C19" s="2"/>
      <c r="D19" s="2"/>
      <c r="E19" t="str">
        <f>Tableau2[[#This Row],[Men min]] &amp; " - " &amp; Tableau2[[#This Row],[Men max]]</f>
        <v xml:space="preserve"> - </v>
      </c>
      <c r="F19" s="2"/>
      <c r="G19" s="2"/>
      <c r="H19" t="str">
        <f>Tableau2[[#This Row],[Cha min]] &amp; " - " &amp; Tableau2[[#This Row],[Cha max]]</f>
        <v xml:space="preserve"> - </v>
      </c>
      <c r="I19" s="2"/>
      <c r="J19" s="2"/>
      <c r="K19" s="2">
        <f>Tableau2[[#This Row],[Phy min]]+Tableau2[[#This Row],[Men min]]+Tableau2[[#This Row],[Cha min]]</f>
        <v>0</v>
      </c>
      <c r="L19" s="2"/>
      <c r="M19" s="1" t="s">
        <v>12</v>
      </c>
      <c r="N19" t="str">
        <f>IFERROR(VLOOKUP(Tableau2[[#This Row],[Alignement]],Alignement[],2,FALSE),"")</f>
        <v>Mauvais</v>
      </c>
      <c r="O19" t="str">
        <f>IFERROR(VLOOKUP(Tableau2[[#This Row],[Alignement]],Alignement[],3,FALSE),"")</f>
        <v>Loyal</v>
      </c>
      <c r="P19" s="1" t="s">
        <v>17</v>
      </c>
      <c r="Q19">
        <f>IF(AND(AND(Tableau2[[#This Row],[Magie]]="Oui",Tableau2[[#This Row],[Men min]]&lt;8,Tableau2[[#This Row],[Mental]]&lt;&gt;"Special"),Tableau2[[#This Row],[Min stats]]&lt;40),0,1)</f>
        <v>1</v>
      </c>
    </row>
    <row r="20" spans="1:17" x14ac:dyDescent="0.25">
      <c r="A20" s="1" t="s">
        <v>61</v>
      </c>
      <c r="B20" t="str">
        <f>Tableau2[[#This Row],[Phy min]] &amp; " - " &amp; Tableau2[[#This Row],[Phy max]]</f>
        <v xml:space="preserve"> - </v>
      </c>
      <c r="C20" s="2"/>
      <c r="D20" s="2"/>
      <c r="E20" t="str">
        <f>Tableau2[[#This Row],[Men min]] &amp; " - " &amp; Tableau2[[#This Row],[Men max]]</f>
        <v xml:space="preserve"> - </v>
      </c>
      <c r="F20" s="2"/>
      <c r="G20" s="2"/>
      <c r="H20" t="str">
        <f>Tableau2[[#This Row],[Cha min]] &amp; " - " &amp; Tableau2[[#This Row],[Cha max]]</f>
        <v xml:space="preserve"> - </v>
      </c>
      <c r="I20" s="2"/>
      <c r="J20" s="2"/>
      <c r="K20" s="2">
        <f>Tableau2[[#This Row],[Phy min]]+Tableau2[[#This Row],[Men min]]+Tableau2[[#This Row],[Cha min]]</f>
        <v>0</v>
      </c>
      <c r="L20" s="2"/>
      <c r="M20" s="1" t="s">
        <v>10</v>
      </c>
      <c r="N20" t="str">
        <f>IFERROR(VLOOKUP(Tableau2[[#This Row],[Alignement]],Alignement[],2,FALSE),"")</f>
        <v>Neutre</v>
      </c>
      <c r="O20" t="str">
        <f>IFERROR(VLOOKUP(Tableau2[[#This Row],[Alignement]],Alignement[],3,FALSE),"")</f>
        <v>Loyal</v>
      </c>
      <c r="P20" s="1" t="s">
        <v>17</v>
      </c>
      <c r="Q20">
        <f>IF(AND(AND(Tableau2[[#This Row],[Magie]]="Oui",Tableau2[[#This Row],[Men min]]&lt;8,Tableau2[[#This Row],[Mental]]&lt;&gt;"Special"),Tableau2[[#This Row],[Min stats]]&lt;40),0,1)</f>
        <v>1</v>
      </c>
    </row>
    <row r="21" spans="1:17" x14ac:dyDescent="0.25">
      <c r="A21" s="1" t="s">
        <v>23</v>
      </c>
      <c r="B21" t="str">
        <f>Tableau2[[#This Row],[Phy min]] &amp; " - " &amp; Tableau2[[#This Row],[Phy max]]</f>
        <v xml:space="preserve"> - </v>
      </c>
      <c r="C21" s="2"/>
      <c r="D21" s="2"/>
      <c r="E21" t="str">
        <f>Tableau2[[#This Row],[Men min]] &amp; " - " &amp; Tableau2[[#This Row],[Men max]]</f>
        <v xml:space="preserve"> - </v>
      </c>
      <c r="F21" s="2"/>
      <c r="G21" s="2"/>
      <c r="H21" t="str">
        <f>Tableau2[[#This Row],[Cha min]] &amp; " - " &amp; Tableau2[[#This Row],[Cha max]]</f>
        <v xml:space="preserve"> - </v>
      </c>
      <c r="I21" s="2"/>
      <c r="J21" s="2"/>
      <c r="K21" s="2">
        <f>Tableau2[[#This Row],[Phy min]]+Tableau2[[#This Row],[Men min]]+Tableau2[[#This Row],[Cha min]]</f>
        <v>0</v>
      </c>
      <c r="L21" s="2"/>
      <c r="M21" s="1" t="s">
        <v>10</v>
      </c>
      <c r="N21" t="str">
        <f>IFERROR(VLOOKUP(Tableau2[[#This Row],[Alignement]],Alignement[],2,FALSE),"")</f>
        <v>Neutre</v>
      </c>
      <c r="O21" t="str">
        <f>IFERROR(VLOOKUP(Tableau2[[#This Row],[Alignement]],Alignement[],3,FALSE),"")</f>
        <v>Loyal</v>
      </c>
      <c r="P21" s="1" t="s">
        <v>0</v>
      </c>
      <c r="Q21">
        <f>IF(AND(AND(Tableau2[[#This Row],[Magie]]="Oui",Tableau2[[#This Row],[Men min]]&lt;8,Tableau2[[#This Row],[Mental]]&lt;&gt;"Special"),Tableau2[[#This Row],[Min stats]]&lt;40),0,1)</f>
        <v>0</v>
      </c>
    </row>
    <row r="22" spans="1:17" x14ac:dyDescent="0.25">
      <c r="A22" s="1" t="s">
        <v>55</v>
      </c>
      <c r="B22" t="str">
        <f>Tableau2[[#This Row],[Phy min]] &amp; " - " &amp; Tableau2[[#This Row],[Phy max]]</f>
        <v xml:space="preserve"> - </v>
      </c>
      <c r="C22" s="2"/>
      <c r="D22" s="2"/>
      <c r="E22" t="str">
        <f>Tableau2[[#This Row],[Men min]] &amp; " - " &amp; Tableau2[[#This Row],[Men max]]</f>
        <v xml:space="preserve"> - </v>
      </c>
      <c r="F22" s="2"/>
      <c r="G22" s="2"/>
      <c r="H22" t="str">
        <f>Tableau2[[#This Row],[Cha min]] &amp; " - " &amp; Tableau2[[#This Row],[Cha max]]</f>
        <v xml:space="preserve"> - </v>
      </c>
      <c r="I22" s="2"/>
      <c r="J22" s="2"/>
      <c r="K22" s="2">
        <f>Tableau2[[#This Row],[Phy min]]+Tableau2[[#This Row],[Men min]]+Tableau2[[#This Row],[Cha min]]</f>
        <v>0</v>
      </c>
      <c r="L22" s="2"/>
      <c r="M22" s="1" t="s">
        <v>10</v>
      </c>
      <c r="N22" t="str">
        <f>IFERROR(VLOOKUP(Tableau2[[#This Row],[Alignement]],Alignement[],2,FALSE),"")</f>
        <v>Neutre</v>
      </c>
      <c r="O22" t="str">
        <f>IFERROR(VLOOKUP(Tableau2[[#This Row],[Alignement]],Alignement[],3,FALSE),"")</f>
        <v>Loyal</v>
      </c>
      <c r="P22" s="1" t="s">
        <v>0</v>
      </c>
      <c r="Q22">
        <f>IF(AND(AND(Tableau2[[#This Row],[Magie]]="Oui",Tableau2[[#This Row],[Men min]]&lt;8,Tableau2[[#This Row],[Mental]]&lt;&gt;"Special"),Tableau2[[#This Row],[Min stats]]&lt;40),0,1)</f>
        <v>0</v>
      </c>
    </row>
    <row r="23" spans="1:17" x14ac:dyDescent="0.25">
      <c r="A23" s="1" t="s">
        <v>62</v>
      </c>
      <c r="B23" t="str">
        <f>Tableau2[[#This Row],[Phy min]] &amp; " - " &amp; Tableau2[[#This Row],[Phy max]]</f>
        <v xml:space="preserve"> - </v>
      </c>
      <c r="C23" s="2"/>
      <c r="D23" s="2"/>
      <c r="E23" t="str">
        <f>Tableau2[[#This Row],[Men min]] &amp; " - " &amp; Tableau2[[#This Row],[Men max]]</f>
        <v xml:space="preserve"> - </v>
      </c>
      <c r="F23" s="2"/>
      <c r="G23" s="2"/>
      <c r="H23" t="str">
        <f>Tableau2[[#This Row],[Cha min]] &amp; " - " &amp; Tableau2[[#This Row],[Cha max]]</f>
        <v xml:space="preserve"> - </v>
      </c>
      <c r="I23" s="2"/>
      <c r="J23" s="2"/>
      <c r="K23" s="2">
        <f>Tableau2[[#This Row],[Phy min]]+Tableau2[[#This Row],[Men min]]+Tableau2[[#This Row],[Cha min]]</f>
        <v>0</v>
      </c>
      <c r="L23" s="2"/>
      <c r="M23" s="1" t="s">
        <v>10</v>
      </c>
      <c r="N23" t="str">
        <f>IFERROR(VLOOKUP(Tableau2[[#This Row],[Alignement]],Alignement[],2,FALSE),"")</f>
        <v>Neutre</v>
      </c>
      <c r="O23" t="str">
        <f>IFERROR(VLOOKUP(Tableau2[[#This Row],[Alignement]],Alignement[],3,FALSE),"")</f>
        <v>Loyal</v>
      </c>
      <c r="P23" s="1" t="s">
        <v>0</v>
      </c>
      <c r="Q23">
        <f>IF(AND(AND(Tableau2[[#This Row],[Magie]]="Oui",Tableau2[[#This Row],[Men min]]&lt;8,Tableau2[[#This Row],[Mental]]&lt;&gt;"Special"),Tableau2[[#This Row],[Min stats]]&lt;40),0,1)</f>
        <v>0</v>
      </c>
    </row>
    <row r="24" spans="1:17" x14ac:dyDescent="0.25">
      <c r="A24" s="1" t="s">
        <v>19</v>
      </c>
      <c r="B24" t="str">
        <f>Tableau2[[#This Row],[Phy min]] &amp; " - " &amp; Tableau2[[#This Row],[Phy max]]</f>
        <v xml:space="preserve"> - </v>
      </c>
      <c r="C24" s="2"/>
      <c r="D24" s="2"/>
      <c r="E24" t="str">
        <f>Tableau2[[#This Row],[Men min]] &amp; " - " &amp; Tableau2[[#This Row],[Men max]]</f>
        <v xml:space="preserve"> - </v>
      </c>
      <c r="F24" s="2"/>
      <c r="G24" s="2"/>
      <c r="H24" t="str">
        <f>Tableau2[[#This Row],[Cha min]] &amp; " - " &amp; Tableau2[[#This Row],[Cha max]]</f>
        <v xml:space="preserve"> - </v>
      </c>
      <c r="I24" s="2"/>
      <c r="J24" s="2"/>
      <c r="K24" s="2">
        <f>Tableau2[[#This Row],[Phy min]]+Tableau2[[#This Row],[Men min]]+Tableau2[[#This Row],[Cha min]]</f>
        <v>0</v>
      </c>
      <c r="L24" s="2" t="s">
        <v>51</v>
      </c>
      <c r="M24" s="1" t="s">
        <v>6</v>
      </c>
      <c r="N24" t="str">
        <f>IFERROR(VLOOKUP(Tableau2[[#This Row],[Alignement]],Alignement[],2,FALSE),"")</f>
        <v>Neutre</v>
      </c>
      <c r="O24" t="str">
        <f>IFERROR(VLOOKUP(Tableau2[[#This Row],[Alignement]],Alignement[],3,FALSE),"")</f>
        <v>Neutre</v>
      </c>
      <c r="P24" s="1" t="s">
        <v>0</v>
      </c>
      <c r="Q24">
        <f>IF(AND(AND(Tableau2[[#This Row],[Magie]]="Oui",Tableau2[[#This Row],[Men min]]&lt;8,Tableau2[[#This Row],[Mental]]&lt;&gt;"Special"),Tableau2[[#This Row],[Min stats]]&lt;40),0,1)</f>
        <v>0</v>
      </c>
    </row>
    <row r="25" spans="1:17" x14ac:dyDescent="0.25">
      <c r="A25" s="1" t="s">
        <v>65</v>
      </c>
      <c r="B25" t="str">
        <f>Tableau2[[#This Row],[Phy min]] &amp; " - " &amp; Tableau2[[#This Row],[Phy max]]</f>
        <v xml:space="preserve"> - </v>
      </c>
      <c r="C25" s="2"/>
      <c r="D25" s="2"/>
      <c r="E25" t="str">
        <f>Tableau2[[#This Row],[Men min]] &amp; " - " &amp; Tableau2[[#This Row],[Men max]]</f>
        <v xml:space="preserve"> - </v>
      </c>
      <c r="F25" s="2"/>
      <c r="G25" s="2"/>
      <c r="H25" t="str">
        <f>Tableau2[[#This Row],[Cha min]] &amp; " - " &amp; Tableau2[[#This Row],[Cha max]]</f>
        <v xml:space="preserve"> - </v>
      </c>
      <c r="I25" s="2"/>
      <c r="J25" s="2"/>
      <c r="K25" s="2">
        <f>Tableau2[[#This Row],[Phy min]]+Tableau2[[#This Row],[Men min]]+Tableau2[[#This Row],[Cha min]]</f>
        <v>0</v>
      </c>
      <c r="L25" s="2"/>
      <c r="M25" s="1" t="s">
        <v>6</v>
      </c>
      <c r="N25" t="str">
        <f>IFERROR(VLOOKUP(Tableau2[[#This Row],[Alignement]],Alignement[],2,FALSE),"")</f>
        <v>Neutre</v>
      </c>
      <c r="O25" t="str">
        <f>IFERROR(VLOOKUP(Tableau2[[#This Row],[Alignement]],Alignement[],3,FALSE),"")</f>
        <v>Neutre</v>
      </c>
      <c r="P25" t="s">
        <v>0</v>
      </c>
      <c r="Q25">
        <f>IF(AND(AND(Tableau2[[#This Row],[Magie]]="Oui",Tableau2[[#This Row],[Men min]]&lt;8,Tableau2[[#This Row],[Mental]]&lt;&gt;"Special"),Tableau2[[#This Row],[Min stats]]&lt;40),0,1)</f>
        <v>0</v>
      </c>
    </row>
    <row r="26" spans="1:17" x14ac:dyDescent="0.25">
      <c r="A26" s="1" t="s">
        <v>76</v>
      </c>
      <c r="B26" t="str">
        <f>Tableau2[[#This Row],[Phy min]] &amp; " - " &amp; Tableau2[[#This Row],[Phy max]]</f>
        <v xml:space="preserve"> - </v>
      </c>
      <c r="C26" s="2"/>
      <c r="D26" s="2"/>
      <c r="E26" t="str">
        <f>Tableau2[[#This Row],[Men min]] &amp; " - " &amp; Tableau2[[#This Row],[Men max]]</f>
        <v xml:space="preserve"> - </v>
      </c>
      <c r="F26" s="2"/>
      <c r="G26" s="2"/>
      <c r="H26" t="str">
        <f>Tableau2[[#This Row],[Cha min]] &amp; " - " &amp; Tableau2[[#This Row],[Cha max]]</f>
        <v xml:space="preserve"> - </v>
      </c>
      <c r="I26" s="2"/>
      <c r="J26" s="2"/>
      <c r="K26" s="2">
        <f>Tableau2[[#This Row],[Phy min]]+Tableau2[[#This Row],[Men min]]+Tableau2[[#This Row],[Cha min]]</f>
        <v>0</v>
      </c>
      <c r="L26" s="2"/>
      <c r="M26" s="1" t="s">
        <v>6</v>
      </c>
      <c r="N26" t="str">
        <f>IFERROR(VLOOKUP(Tableau2[[#This Row],[Alignement]],Alignement[],2,FALSE),"")</f>
        <v>Neutre</v>
      </c>
      <c r="O26" t="str">
        <f>IFERROR(VLOOKUP(Tableau2[[#This Row],[Alignement]],Alignement[],3,FALSE),"")</f>
        <v>Neutre</v>
      </c>
      <c r="P26" s="1" t="s">
        <v>17</v>
      </c>
      <c r="Q26">
        <f>IF(AND(AND(Tableau2[[#This Row],[Magie]]="Oui",Tableau2[[#This Row],[Men min]]&lt;8,Tableau2[[#This Row],[Mental]]&lt;&gt;"Special"),Tableau2[[#This Row],[Min stats]]&lt;40),0,1)</f>
        <v>1</v>
      </c>
    </row>
    <row r="27" spans="1:17" x14ac:dyDescent="0.25">
      <c r="A27" s="1" t="s">
        <v>31</v>
      </c>
      <c r="B27" t="s">
        <v>26</v>
      </c>
      <c r="C27" s="2"/>
      <c r="D27" s="2"/>
      <c r="E27" t="s">
        <v>26</v>
      </c>
      <c r="F27" s="2"/>
      <c r="G27" s="2"/>
      <c r="H27" t="s">
        <v>26</v>
      </c>
      <c r="I27" s="2"/>
      <c r="J27" s="2"/>
      <c r="K27" s="2">
        <f>Tableau2[[#This Row],[Phy min]]+Tableau2[[#This Row],[Men min]]+Tableau2[[#This Row],[Cha min]]</f>
        <v>0</v>
      </c>
      <c r="L27" s="2"/>
      <c r="M27" s="1" t="s">
        <v>6</v>
      </c>
      <c r="N27" t="str">
        <f>IFERROR(VLOOKUP(Tableau2[[#This Row],[Alignement]],Alignement[],2,FALSE),"")</f>
        <v>Neutre</v>
      </c>
      <c r="O27" t="str">
        <f>IFERROR(VLOOKUP(Tableau2[[#This Row],[Alignement]],Alignement[],3,FALSE),"")</f>
        <v>Neutre</v>
      </c>
      <c r="P27" s="1" t="s">
        <v>0</v>
      </c>
      <c r="Q27">
        <f>IF(AND(AND(Tableau2[[#This Row],[Magie]]="Oui",Tableau2[[#This Row],[Men min]]&lt;8,Tableau2[[#This Row],[Mental]]&lt;&gt;"Special"),Tableau2[[#This Row],[Min stats]]&lt;40),0,1)</f>
        <v>1</v>
      </c>
    </row>
    <row r="28" spans="1:17" x14ac:dyDescent="0.25">
      <c r="A28" s="1" t="s">
        <v>63</v>
      </c>
      <c r="B28" t="str">
        <f>Tableau2[[#This Row],[Phy min]] &amp; " - " &amp; Tableau2[[#This Row],[Phy max]]</f>
        <v xml:space="preserve"> - </v>
      </c>
      <c r="C28" s="2"/>
      <c r="D28" s="2"/>
      <c r="E28" t="str">
        <f>Tableau2[[#This Row],[Men min]] &amp; " - " &amp; Tableau2[[#This Row],[Men max]]</f>
        <v xml:space="preserve"> - </v>
      </c>
      <c r="F28" s="2"/>
      <c r="G28" s="2"/>
      <c r="H28" t="str">
        <f>Tableau2[[#This Row],[Cha min]] &amp; " - " &amp; Tableau2[[#This Row],[Cha max]]</f>
        <v xml:space="preserve"> - </v>
      </c>
      <c r="I28" s="2"/>
      <c r="J28" s="2"/>
      <c r="K28" s="2">
        <f>Tableau2[[#This Row],[Phy min]]+Tableau2[[#This Row],[Men min]]+Tableau2[[#This Row],[Cha min]]</f>
        <v>0</v>
      </c>
      <c r="L28" s="2"/>
      <c r="M28" s="1" t="s">
        <v>6</v>
      </c>
      <c r="N28" t="str">
        <f>IFERROR(VLOOKUP(Tableau2[[#This Row],[Alignement]],Alignement[],2,FALSE),"")</f>
        <v>Neutre</v>
      </c>
      <c r="O28" t="str">
        <f>IFERROR(VLOOKUP(Tableau2[[#This Row],[Alignement]],Alignement[],3,FALSE),"")</f>
        <v>Neutre</v>
      </c>
      <c r="P28" s="1" t="s">
        <v>0</v>
      </c>
      <c r="Q28">
        <f>IF(AND(AND(Tableau2[[#This Row],[Magie]]="Oui",Tableau2[[#This Row],[Men min]]&lt;8,Tableau2[[#This Row],[Mental]]&lt;&gt;"Special"),Tableau2[[#This Row],[Min stats]]&lt;40),0,1)</f>
        <v>0</v>
      </c>
    </row>
    <row r="29" spans="1:17" x14ac:dyDescent="0.25">
      <c r="A29" s="1" t="s">
        <v>18</v>
      </c>
      <c r="B29" t="str">
        <f>Tableau2[[#This Row],[Phy min]] &amp; " - " &amp; Tableau2[[#This Row],[Phy max]]</f>
        <v xml:space="preserve"> - </v>
      </c>
      <c r="C29" s="2"/>
      <c r="D29" s="2"/>
      <c r="E29" t="str">
        <f>Tableau2[[#This Row],[Men min]] &amp; " - " &amp; Tableau2[[#This Row],[Men max]]</f>
        <v xml:space="preserve"> - </v>
      </c>
      <c r="F29" s="2"/>
      <c r="G29" s="2"/>
      <c r="H29" t="str">
        <f>Tableau2[[#This Row],[Cha min]] &amp; " - " &amp; Tableau2[[#This Row],[Cha max]]</f>
        <v xml:space="preserve"> - </v>
      </c>
      <c r="I29" s="2"/>
      <c r="J29" s="2"/>
      <c r="K29" s="2">
        <f>Tableau2[[#This Row],[Phy min]]+Tableau2[[#This Row],[Men min]]+Tableau2[[#This Row],[Cha min]]</f>
        <v>0</v>
      </c>
      <c r="L29" s="2" t="s">
        <v>50</v>
      </c>
      <c r="M29" s="1" t="s">
        <v>6</v>
      </c>
      <c r="N29" t="str">
        <f>IFERROR(VLOOKUP(Tableau2[[#This Row],[Alignement]],Alignement[],2,FALSE),"")</f>
        <v>Neutre</v>
      </c>
      <c r="O29" t="str">
        <f>IFERROR(VLOOKUP(Tableau2[[#This Row],[Alignement]],Alignement[],3,FALSE),"")</f>
        <v>Neutre</v>
      </c>
      <c r="P29" s="1" t="s">
        <v>0</v>
      </c>
      <c r="Q29">
        <f>IF(AND(AND(Tableau2[[#This Row],[Magie]]="Oui",Tableau2[[#This Row],[Men min]]&lt;8,Tableau2[[#This Row],[Mental]]&lt;&gt;"Special"),Tableau2[[#This Row],[Min stats]]&lt;40),0,1)</f>
        <v>0</v>
      </c>
    </row>
    <row r="30" spans="1:17" x14ac:dyDescent="0.25">
      <c r="A30" s="1" t="s">
        <v>72</v>
      </c>
      <c r="B30" t="str">
        <f>Tableau2[[#This Row],[Phy min]] &amp; " - " &amp; Tableau2[[#This Row],[Phy max]]</f>
        <v xml:space="preserve"> - </v>
      </c>
      <c r="C30" s="2"/>
      <c r="D30" s="2"/>
      <c r="E30" t="str">
        <f>Tableau2[[#This Row],[Men min]] &amp; " - " &amp; Tableau2[[#This Row],[Men max]]</f>
        <v xml:space="preserve"> - </v>
      </c>
      <c r="F30" s="2"/>
      <c r="G30" s="2"/>
      <c r="H30" t="str">
        <f>Tableau2[[#This Row],[Cha min]] &amp; " - " &amp; Tableau2[[#This Row],[Cha max]]</f>
        <v xml:space="preserve"> - </v>
      </c>
      <c r="I30" s="2"/>
      <c r="J30" s="2"/>
      <c r="K30" s="2">
        <f>Tableau2[[#This Row],[Phy min]]+Tableau2[[#This Row],[Men min]]+Tableau2[[#This Row],[Cha min]]</f>
        <v>0</v>
      </c>
      <c r="L30" s="2"/>
      <c r="M30" s="1" t="s">
        <v>6</v>
      </c>
      <c r="N30" t="str">
        <f>IFERROR(VLOOKUP(Tableau2[[#This Row],[Alignement]],Alignement[],2,FALSE),"")</f>
        <v>Neutre</v>
      </c>
      <c r="O30" t="str">
        <f>IFERROR(VLOOKUP(Tableau2[[#This Row],[Alignement]],Alignement[],3,FALSE),"")</f>
        <v>Neutre</v>
      </c>
      <c r="P30" s="1" t="s">
        <v>0</v>
      </c>
      <c r="Q30">
        <f>IF(AND(AND(Tableau2[[#This Row],[Magie]]="Oui",Tableau2[[#This Row],[Men min]]&lt;8,Tableau2[[#This Row],[Mental]]&lt;&gt;"Special"),Tableau2[[#This Row],[Min stats]]&lt;40),0,1)</f>
        <v>0</v>
      </c>
    </row>
    <row r="31" spans="1:17" x14ac:dyDescent="0.25">
      <c r="A31" s="1" t="s">
        <v>20</v>
      </c>
      <c r="B31" t="str">
        <f>Tableau2[[#This Row],[Phy min]] &amp; " - " &amp; Tableau2[[#This Row],[Phy max]]</f>
        <v xml:space="preserve"> - </v>
      </c>
      <c r="C31" s="2"/>
      <c r="D31" s="2"/>
      <c r="E31" t="str">
        <f>Tableau2[[#This Row],[Men min]] &amp; " - " &amp; Tableau2[[#This Row],[Men max]]</f>
        <v xml:space="preserve"> - </v>
      </c>
      <c r="F31" s="2"/>
      <c r="G31" s="2"/>
      <c r="H31" t="str">
        <f>Tableau2[[#This Row],[Cha min]] &amp; " - " &amp; Tableau2[[#This Row],[Cha max]]</f>
        <v xml:space="preserve"> - </v>
      </c>
      <c r="I31" s="2"/>
      <c r="J31" s="2"/>
      <c r="K31" s="2">
        <f>Tableau2[[#This Row],[Phy min]]+Tableau2[[#This Row],[Men min]]+Tableau2[[#This Row],[Cha min]]</f>
        <v>0</v>
      </c>
      <c r="L31" s="2" t="s">
        <v>46</v>
      </c>
      <c r="M31" s="1" t="s">
        <v>8</v>
      </c>
      <c r="N31" t="str">
        <f>IFERROR(VLOOKUP(Tableau2[[#This Row],[Alignement]],Alignement[],2,FALSE),"")</f>
        <v>Bon</v>
      </c>
      <c r="O31" t="str">
        <f>IFERROR(VLOOKUP(Tableau2[[#This Row],[Alignement]],Alignement[],3,FALSE),"")</f>
        <v>Neutre</v>
      </c>
      <c r="P31" s="1" t="s">
        <v>17</v>
      </c>
      <c r="Q31">
        <f>IF(AND(AND(Tableau2[[#This Row],[Magie]]="Oui",Tableau2[[#This Row],[Men min]]&lt;8,Tableau2[[#This Row],[Mental]]&lt;&gt;"Special"),Tableau2[[#This Row],[Min stats]]&lt;40),0,1)</f>
        <v>1</v>
      </c>
    </row>
    <row r="32" spans="1:17" x14ac:dyDescent="0.25">
      <c r="A32" s="1" t="s">
        <v>56</v>
      </c>
      <c r="B32" t="str">
        <f>Tableau2[[#This Row],[Phy min]] &amp; " - " &amp; Tableau2[[#This Row],[Phy max]]</f>
        <v xml:space="preserve"> - </v>
      </c>
      <c r="C32" s="2"/>
      <c r="D32" s="2"/>
      <c r="E32" t="str">
        <f>Tableau2[[#This Row],[Men min]] &amp; " - " &amp; Tableau2[[#This Row],[Men max]]</f>
        <v xml:space="preserve"> - </v>
      </c>
      <c r="F32" s="2"/>
      <c r="G32" s="2"/>
      <c r="H32" t="str">
        <f>Tableau2[[#This Row],[Cha min]] &amp; " - " &amp; Tableau2[[#This Row],[Cha max]]</f>
        <v xml:space="preserve"> - </v>
      </c>
      <c r="I32" s="2"/>
      <c r="J32" s="2"/>
      <c r="K32" s="2">
        <f>Tableau2[[#This Row],[Phy min]]+Tableau2[[#This Row],[Men min]]+Tableau2[[#This Row],[Cha min]]</f>
        <v>0</v>
      </c>
      <c r="L32" s="2"/>
      <c r="M32" s="1" t="s">
        <v>8</v>
      </c>
      <c r="N32" t="str">
        <f>IFERROR(VLOOKUP(Tableau2[[#This Row],[Alignement]],Alignement[],2,FALSE),"")</f>
        <v>Bon</v>
      </c>
      <c r="O32" t="str">
        <f>IFERROR(VLOOKUP(Tableau2[[#This Row],[Alignement]],Alignement[],3,FALSE),"")</f>
        <v>Neutre</v>
      </c>
      <c r="P32" s="1" t="s">
        <v>17</v>
      </c>
      <c r="Q32">
        <f>IF(AND(AND(Tableau2[[#This Row],[Magie]]="Oui",Tableau2[[#This Row],[Men min]]&lt;8,Tableau2[[#This Row],[Mental]]&lt;&gt;"Special"),Tableau2[[#This Row],[Min stats]]&lt;40),0,1)</f>
        <v>1</v>
      </c>
    </row>
    <row r="33" spans="1:17" x14ac:dyDescent="0.25">
      <c r="A33" s="1" t="s">
        <v>57</v>
      </c>
      <c r="B33" t="str">
        <f>Tableau2[[#This Row],[Phy min]] &amp; " - " &amp; Tableau2[[#This Row],[Phy max]]</f>
        <v xml:space="preserve"> - </v>
      </c>
      <c r="C33" s="2"/>
      <c r="D33" s="2"/>
      <c r="E33" t="str">
        <f>Tableau2[[#This Row],[Men min]] &amp; " - " &amp; Tableau2[[#This Row],[Men max]]</f>
        <v xml:space="preserve"> - </v>
      </c>
      <c r="F33" s="2"/>
      <c r="G33" s="2"/>
      <c r="H33" t="str">
        <f>Tableau2[[#This Row],[Cha min]] &amp; " - " &amp; Tableau2[[#This Row],[Cha max]]</f>
        <v xml:space="preserve"> - </v>
      </c>
      <c r="I33" s="2"/>
      <c r="J33" s="2"/>
      <c r="K33" s="2">
        <f>Tableau2[[#This Row],[Phy min]]+Tableau2[[#This Row],[Men min]]+Tableau2[[#This Row],[Cha min]]</f>
        <v>0</v>
      </c>
      <c r="L33" s="2"/>
      <c r="M33" s="1" t="s">
        <v>1</v>
      </c>
      <c r="N33" t="str">
        <f>IFERROR(VLOOKUP(Tableau2[[#This Row],[Alignement]],Alignement[],2,FALSE),"")</f>
        <v>Mauvais</v>
      </c>
      <c r="O33" t="str">
        <f>IFERROR(VLOOKUP(Tableau2[[#This Row],[Alignement]],Alignement[],3,FALSE),"")</f>
        <v>Neutre</v>
      </c>
      <c r="P33" s="1" t="s">
        <v>0</v>
      </c>
      <c r="Q33">
        <f>IF(AND(AND(Tableau2[[#This Row],[Magie]]="Oui",Tableau2[[#This Row],[Men min]]&lt;8,Tableau2[[#This Row],[Mental]]&lt;&gt;"Special"),Tableau2[[#This Row],[Min stats]]&lt;40),0,1)</f>
        <v>0</v>
      </c>
    </row>
    <row r="34" spans="1:17" x14ac:dyDescent="0.25">
      <c r="A34" s="1" t="s">
        <v>29</v>
      </c>
      <c r="B34" t="str">
        <f>Tableau2[[#This Row],[Phy min]] &amp; " - " &amp; Tableau2[[#This Row],[Phy max]]</f>
        <v>10 - 20</v>
      </c>
      <c r="C34" s="2">
        <v>10</v>
      </c>
      <c r="D34" s="2">
        <v>20</v>
      </c>
      <c r="E34" t="str">
        <f>Tableau2[[#This Row],[Men min]] &amp; " - " &amp; Tableau2[[#This Row],[Men max]]</f>
        <v>8 - 20</v>
      </c>
      <c r="F34" s="2">
        <v>8</v>
      </c>
      <c r="G34" s="2">
        <v>20</v>
      </c>
      <c r="H34" t="str">
        <f>Tableau2[[#This Row],[Cha min]] &amp; " - " &amp; Tableau2[[#This Row],[Cha max]]</f>
        <v>12 - 25</v>
      </c>
      <c r="I34" s="2">
        <v>12</v>
      </c>
      <c r="J34" s="2">
        <v>25</v>
      </c>
      <c r="K34" s="2">
        <f>Tableau2[[#This Row],[Phy min]]+Tableau2[[#This Row],[Men min]]+Tableau2[[#This Row],[Cha min]]</f>
        <v>30</v>
      </c>
      <c r="L34" s="2" t="s">
        <v>47</v>
      </c>
      <c r="M34" s="1" t="s">
        <v>1</v>
      </c>
      <c r="N34" t="str">
        <f>IFERROR(VLOOKUP(Tableau2[[#This Row],[Alignement]],Alignement[],2,FALSE),"")</f>
        <v>Mauvais</v>
      </c>
      <c r="O34" t="str">
        <f>IFERROR(VLOOKUP(Tableau2[[#This Row],[Alignement]],Alignement[],3,FALSE),"")</f>
        <v>Neutre</v>
      </c>
      <c r="P34" s="1" t="s">
        <v>0</v>
      </c>
      <c r="Q34">
        <f>IF(AND(AND(Tableau2[[#This Row],[Magie]]="Oui",Tableau2[[#This Row],[Men min]]&lt;8,Tableau2[[#This Row],[Mental]]&lt;&gt;"Special"),Tableau2[[#This Row],[Min stats]]&lt;40),0,1)</f>
        <v>1</v>
      </c>
    </row>
    <row r="35" spans="1:17" x14ac:dyDescent="0.25">
      <c r="A35" s="1" t="s">
        <v>67</v>
      </c>
      <c r="B35" t="str">
        <f>Tableau2[[#This Row],[Phy min]] &amp; " - " &amp; Tableau2[[#This Row],[Phy max]]</f>
        <v xml:space="preserve"> - </v>
      </c>
      <c r="C35" s="2"/>
      <c r="D35" s="2"/>
      <c r="E35" t="str">
        <f>Tableau2[[#This Row],[Men min]] &amp; " - " &amp; Tableau2[[#This Row],[Men max]]</f>
        <v xml:space="preserve"> - </v>
      </c>
      <c r="F35" s="2"/>
      <c r="G35" s="2"/>
      <c r="H35" t="str">
        <f>Tableau2[[#This Row],[Cha min]] &amp; " - " &amp; Tableau2[[#This Row],[Cha max]]</f>
        <v xml:space="preserve"> - </v>
      </c>
      <c r="I35" s="2"/>
      <c r="J35" s="2"/>
      <c r="K35" s="2">
        <f>Tableau2[[#This Row],[Phy min]]+Tableau2[[#This Row],[Men min]]+Tableau2[[#This Row],[Cha min]]</f>
        <v>0</v>
      </c>
      <c r="L35" s="2"/>
      <c r="M35" s="1" t="s">
        <v>1</v>
      </c>
      <c r="N35" t="str">
        <f>IFERROR(VLOOKUP(Tableau2[[#This Row],[Alignement]],Alignement[],2,FALSE),"")</f>
        <v>Mauvais</v>
      </c>
      <c r="O35" t="str">
        <f>IFERROR(VLOOKUP(Tableau2[[#This Row],[Alignement]],Alignement[],3,FALSE),"")</f>
        <v>Neutre</v>
      </c>
      <c r="P35" s="1" t="s">
        <v>17</v>
      </c>
      <c r="Q35">
        <f>IF(AND(AND(Tableau2[[#This Row],[Magie]]="Oui",Tableau2[[#This Row],[Men min]]&lt;8,Tableau2[[#This Row],[Mental]]&lt;&gt;"Special"),Tableau2[[#This Row],[Min stats]]&lt;40),0,1)</f>
        <v>1</v>
      </c>
    </row>
    <row r="36" spans="1:17" x14ac:dyDescent="0.25">
      <c r="A36" s="1" t="s">
        <v>75</v>
      </c>
      <c r="B36" t="str">
        <f>Tableau2[[#This Row],[Phy min]] &amp; " - " &amp; Tableau2[[#This Row],[Phy max]]</f>
        <v xml:space="preserve"> - </v>
      </c>
      <c r="C36" s="2"/>
      <c r="D36" s="2"/>
      <c r="E36" t="str">
        <f>Tableau2[[#This Row],[Men min]] &amp; " - " &amp; Tableau2[[#This Row],[Men max]]</f>
        <v xml:space="preserve"> - </v>
      </c>
      <c r="F36" s="2"/>
      <c r="G36" s="2"/>
      <c r="H36" t="str">
        <f>Tableau2[[#This Row],[Cha min]] &amp; " - " &amp; Tableau2[[#This Row],[Cha max]]</f>
        <v xml:space="preserve"> - </v>
      </c>
      <c r="I36" s="2"/>
      <c r="J36" s="2"/>
      <c r="K36" s="2">
        <f>Tableau2[[#This Row],[Phy min]]+Tableau2[[#This Row],[Men min]]+Tableau2[[#This Row],[Cha min]]</f>
        <v>0</v>
      </c>
      <c r="L36" s="2"/>
      <c r="M36" s="1" t="s">
        <v>1</v>
      </c>
      <c r="N36" t="str">
        <f>IFERROR(VLOOKUP(Tableau2[[#This Row],[Alignement]],Alignement[],2,FALSE),"")</f>
        <v>Mauvais</v>
      </c>
      <c r="O36" t="str">
        <f>IFERROR(VLOOKUP(Tableau2[[#This Row],[Alignement]],Alignement[],3,FALSE),"")</f>
        <v>Neutre</v>
      </c>
      <c r="P36" s="1" t="s">
        <v>17</v>
      </c>
      <c r="Q36">
        <f>IF(AND(AND(Tableau2[[#This Row],[Magie]]="Oui",Tableau2[[#This Row],[Men min]]&lt;8,Tableau2[[#This Row],[Mental]]&lt;&gt;"Special"),Tableau2[[#This Row],[Min stats]]&lt;40),0,1)</f>
        <v>1</v>
      </c>
    </row>
    <row r="37" spans="1:17" x14ac:dyDescent="0.25">
      <c r="A37" s="1" t="s">
        <v>25</v>
      </c>
      <c r="B37" t="str">
        <f>Tableau2[[#This Row],[Phy min]] &amp; " - " &amp; Tableau2[[#This Row],[Phy max]]</f>
        <v xml:space="preserve"> - </v>
      </c>
      <c r="C37" s="2"/>
      <c r="D37" s="2"/>
      <c r="E37" t="str">
        <f>Tableau2[[#This Row],[Men min]] &amp; " - " &amp; Tableau2[[#This Row],[Men max]]</f>
        <v xml:space="preserve"> - </v>
      </c>
      <c r="F37" s="2"/>
      <c r="G37" s="2"/>
      <c r="H37" t="str">
        <f>Tableau2[[#This Row],[Cha min]] &amp; " - " &amp; Tableau2[[#This Row],[Cha max]]</f>
        <v xml:space="preserve"> - </v>
      </c>
      <c r="I37" s="2"/>
      <c r="J37" s="2"/>
      <c r="K37" s="2">
        <f>Tableau2[[#This Row],[Phy min]]+Tableau2[[#This Row],[Men min]]+Tableau2[[#This Row],[Cha min]]</f>
        <v>0</v>
      </c>
      <c r="L37" s="2"/>
      <c r="M37" s="1" t="s">
        <v>1</v>
      </c>
      <c r="N37" t="str">
        <f>IFERROR(VLOOKUP(Tableau2[[#This Row],[Alignement]],Alignement[],2,FALSE),"")</f>
        <v>Mauvais</v>
      </c>
      <c r="O37" t="str">
        <f>IFERROR(VLOOKUP(Tableau2[[#This Row],[Alignement]],Alignement[],3,FALSE),"")</f>
        <v>Neutre</v>
      </c>
      <c r="P37" s="1" t="s">
        <v>0</v>
      </c>
      <c r="Q37">
        <f>IF(AND(AND(Tableau2[[#This Row],[Magie]]="Oui",Tableau2[[#This Row],[Men min]]&lt;8,Tableau2[[#This Row],[Mental]]&lt;&gt;"Special"),Tableau2[[#This Row],[Min stats]]&lt;40),0,1)</f>
        <v>0</v>
      </c>
    </row>
    <row r="38" spans="1:17" x14ac:dyDescent="0.25">
      <c r="A38" s="1" t="s">
        <v>71</v>
      </c>
      <c r="B38" t="str">
        <f>Tableau2[[#This Row],[Phy min]] &amp; " - " &amp; Tableau2[[#This Row],[Phy max]]</f>
        <v xml:space="preserve"> - </v>
      </c>
      <c r="C38" s="2"/>
      <c r="D38" s="2"/>
      <c r="E38" t="str">
        <f>Tableau2[[#This Row],[Men min]] &amp; " - " &amp; Tableau2[[#This Row],[Men max]]</f>
        <v xml:space="preserve"> - </v>
      </c>
      <c r="F38" s="2"/>
      <c r="G38" s="2"/>
      <c r="H38" t="str">
        <f>Tableau2[[#This Row],[Cha min]] &amp; " - " &amp; Tableau2[[#This Row],[Cha max]]</f>
        <v xml:space="preserve"> - </v>
      </c>
      <c r="I38" s="2"/>
      <c r="J38" s="2"/>
      <c r="K38" s="2">
        <f>Tableau2[[#This Row],[Phy min]]+Tableau2[[#This Row],[Men min]]+Tableau2[[#This Row],[Cha min]]</f>
        <v>0</v>
      </c>
      <c r="L38" s="2"/>
      <c r="M38" s="1" t="s">
        <v>1</v>
      </c>
      <c r="N38" t="str">
        <f>IFERROR(VLOOKUP(Tableau2[[#This Row],[Alignement]],Alignement[],2,FALSE),"")</f>
        <v>Mauvais</v>
      </c>
      <c r="O38" t="str">
        <f>IFERROR(VLOOKUP(Tableau2[[#This Row],[Alignement]],Alignement[],3,FALSE),"")</f>
        <v>Neutre</v>
      </c>
      <c r="P38" s="1" t="s">
        <v>0</v>
      </c>
      <c r="Q38">
        <f>IF(AND(AND(Tableau2[[#This Row],[Magie]]="Oui",Tableau2[[#This Row],[Men min]]&lt;8,Tableau2[[#This Row],[Mental]]&lt;&gt;"Special"),Tableau2[[#This Row],[Min stats]]&lt;40),0,1)</f>
        <v>0</v>
      </c>
    </row>
    <row r="39" spans="1:17" x14ac:dyDescent="0.25">
      <c r="A39" s="1" t="s">
        <v>21</v>
      </c>
      <c r="B39" t="str">
        <f>Tableau2[[#This Row],[Phy min]] &amp; " - " &amp; Tableau2[[#This Row],[Phy max]]</f>
        <v xml:space="preserve"> - </v>
      </c>
      <c r="C39" s="2"/>
      <c r="D39" s="2"/>
      <c r="E39" t="str">
        <f>Tableau2[[#This Row],[Men min]] &amp; " - " &amp; Tableau2[[#This Row],[Men max]]</f>
        <v xml:space="preserve"> - </v>
      </c>
      <c r="F39" s="2"/>
      <c r="G39" s="2"/>
      <c r="H39" t="str">
        <f>Tableau2[[#This Row],[Cha min]] &amp; " - " &amp; Tableau2[[#This Row],[Cha max]]</f>
        <v xml:space="preserve"> - </v>
      </c>
      <c r="I39" s="2"/>
      <c r="J39" s="2"/>
      <c r="K39" s="2">
        <f>Tableau2[[#This Row],[Phy min]]+Tableau2[[#This Row],[Men min]]+Tableau2[[#This Row],[Cha min]]</f>
        <v>0</v>
      </c>
      <c r="L39" s="2" t="s">
        <v>52</v>
      </c>
      <c r="M39" s="1" t="s">
        <v>1</v>
      </c>
      <c r="N39" t="str">
        <f>IFERROR(VLOOKUP(Tableau2[[#This Row],[Alignement]],Alignement[],2,FALSE),"")</f>
        <v>Mauvais</v>
      </c>
      <c r="O39" t="str">
        <f>IFERROR(VLOOKUP(Tableau2[[#This Row],[Alignement]],Alignement[],3,FALSE),"")</f>
        <v>Neutre</v>
      </c>
      <c r="P39" s="1" t="s">
        <v>0</v>
      </c>
      <c r="Q39">
        <f>IF(AND(AND(Tableau2[[#This Row],[Magie]]="Oui",Tableau2[[#This Row],[Men min]]&lt;8,Tableau2[[#This Row],[Mental]]&lt;&gt;"Special"),Tableau2[[#This Row],[Min stats]]&lt;40),0,1)</f>
        <v>0</v>
      </c>
    </row>
  </sheetData>
  <phoneticPr fontId="3" type="noConversion"/>
  <conditionalFormatting sqref="Q2:Q39">
    <cfRule type="iconSet" priority="1">
      <iconSet iconSet="3Symbols" showValue="0">
        <cfvo type="percent" val="0"/>
        <cfvo type="num" val="1"/>
        <cfvo type="num" val="1"/>
      </iconSet>
    </cfRule>
  </conditionalFormatting>
  <dataValidations count="2">
    <dataValidation type="list" allowBlank="1" showInputMessage="1" showErrorMessage="1" sqref="P2:P39" xr:uid="{D8B0DC34-14A9-4313-A1A6-F9C76DD30BEA}">
      <formula1>"Oui,Non"</formula1>
    </dataValidation>
    <dataValidation type="list" allowBlank="1" showInputMessage="1" showErrorMessage="1" sqref="L2:L39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M2:M39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4</v>
      </c>
      <c r="B1" t="s">
        <v>2</v>
      </c>
      <c r="C1" t="s">
        <v>3</v>
      </c>
    </row>
    <row r="2" spans="1:3" x14ac:dyDescent="0.25">
      <c r="A2" t="s">
        <v>11</v>
      </c>
      <c r="B2" t="s">
        <v>16</v>
      </c>
      <c r="C2" t="s">
        <v>13</v>
      </c>
    </row>
    <row r="3" spans="1:3" x14ac:dyDescent="0.25">
      <c r="A3" t="s">
        <v>10</v>
      </c>
      <c r="B3" t="s">
        <v>6</v>
      </c>
      <c r="C3" t="s">
        <v>13</v>
      </c>
    </row>
    <row r="4" spans="1:3" x14ac:dyDescent="0.25">
      <c r="A4" t="s">
        <v>12</v>
      </c>
      <c r="B4" t="s">
        <v>15</v>
      </c>
      <c r="C4" t="s">
        <v>13</v>
      </c>
    </row>
    <row r="5" spans="1:3" x14ac:dyDescent="0.25">
      <c r="A5" t="s">
        <v>8</v>
      </c>
      <c r="B5" t="s">
        <v>16</v>
      </c>
      <c r="C5" t="s">
        <v>6</v>
      </c>
    </row>
    <row r="6" spans="1:3" x14ac:dyDescent="0.25">
      <c r="A6" t="s">
        <v>6</v>
      </c>
      <c r="B6" t="s">
        <v>6</v>
      </c>
      <c r="C6" t="s">
        <v>6</v>
      </c>
    </row>
    <row r="7" spans="1:3" x14ac:dyDescent="0.25">
      <c r="A7" t="s">
        <v>1</v>
      </c>
      <c r="B7" t="s">
        <v>15</v>
      </c>
      <c r="C7" t="s">
        <v>6</v>
      </c>
    </row>
    <row r="8" spans="1:3" x14ac:dyDescent="0.25">
      <c r="A8" t="s">
        <v>7</v>
      </c>
      <c r="B8" t="s">
        <v>16</v>
      </c>
      <c r="C8" t="s">
        <v>14</v>
      </c>
    </row>
    <row r="9" spans="1:3" x14ac:dyDescent="0.25">
      <c r="A9" t="s">
        <v>5</v>
      </c>
      <c r="B9" t="s">
        <v>6</v>
      </c>
      <c r="C9" t="s">
        <v>14</v>
      </c>
    </row>
    <row r="10" spans="1:3" x14ac:dyDescent="0.25">
      <c r="A10" t="s">
        <v>9</v>
      </c>
      <c r="B10" t="s">
        <v>15</v>
      </c>
      <c r="C10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2024-02-07T22:46:07Z</dcterms:modified>
</cp:coreProperties>
</file>