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hidePivotFieldList="1" defaultThemeVersion="166925"/>
  <mc:AlternateContent xmlns:mc="http://schemas.openxmlformats.org/markup-compatibility/2006">
    <mc:Choice Requires="x15">
      <x15ac:absPath xmlns:x15ac="http://schemas.microsoft.com/office/spreadsheetml/2010/11/ac" url="F:\Users\Clement\Documents\Aspect\JDR\Système Aspect\"/>
    </mc:Choice>
  </mc:AlternateContent>
  <xr:revisionPtr revIDLastSave="0" documentId="13_ncr:1_{11733A38-14F3-4C33-B3E0-729660B99379}" xr6:coauthVersionLast="47" xr6:coauthVersionMax="47" xr10:uidLastSave="{00000000-0000-0000-0000-000000000000}"/>
  <bookViews>
    <workbookView xWindow="-120" yWindow="-120" windowWidth="38640" windowHeight="21120" activeTab="2" xr2:uid="{200AB9DF-C0C3-4752-B0BD-0EF65030082E}"/>
  </bookViews>
  <sheets>
    <sheet name="Récap" sheetId="3" r:id="rId1"/>
    <sheet name="Aspects" sheetId="1" r:id="rId2"/>
    <sheet name="Sorts" sheetId="4" r:id="rId3"/>
    <sheet name="Feuil2" sheetId="2" state="hidden" r:id="rId4"/>
  </sheets>
  <definedNames>
    <definedName name="WCHARAC">Récap!$M$8</definedName>
    <definedName name="WMENTAL">Récap!$M$6</definedName>
    <definedName name="WPHYSIC">Récap!$M$4</definedName>
  </definedNames>
  <calcPr calcId="191029" refMode="R1C1"/>
  <pivotCaches>
    <pivotCache cacheId="0" r:id="rId5"/>
    <pivotCache cacheId="1" r:id="rId6"/>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3" i="3" l="1"/>
  <c r="R4" i="3"/>
  <c r="R5" i="3"/>
  <c r="R7" i="3"/>
  <c r="R8" i="3"/>
  <c r="R9" i="3"/>
  <c r="R11" i="3"/>
  <c r="R12" i="3"/>
  <c r="R13" i="3"/>
  <c r="R14" i="3"/>
  <c r="R15" i="3"/>
  <c r="R16" i="3"/>
  <c r="R17" i="3"/>
  <c r="R18" i="3"/>
  <c r="R19" i="3"/>
  <c r="N4" i="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D13" i="3"/>
  <c r="D14" i="3"/>
  <c r="D15" i="3"/>
  <c r="D16" i="3"/>
  <c r="D17" i="3"/>
  <c r="D18" i="3"/>
  <c r="D19" i="3"/>
  <c r="S9" i="3" l="1"/>
  <c r="S3" i="3"/>
  <c r="S8" i="3"/>
  <c r="S7" i="3"/>
  <c r="S5" i="3"/>
  <c r="S4" i="3"/>
  <c r="S19" i="3"/>
  <c r="S11" i="3"/>
  <c r="S12" i="3"/>
  <c r="S13" i="3"/>
  <c r="S14" i="3"/>
  <c r="S15" i="3"/>
  <c r="S16" i="3"/>
  <c r="S17" i="3"/>
  <c r="S18" i="3"/>
  <c r="T28" i="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E19" i="3"/>
  <c r="E16" i="3"/>
  <c r="E18" i="3"/>
  <c r="D3" i="3"/>
  <c r="E17" i="3"/>
  <c r="E15" i="3"/>
  <c r="E14" i="3"/>
  <c r="E13" i="3"/>
  <c r="D9" i="3"/>
  <c r="D8" i="3"/>
  <c r="D5" i="3"/>
  <c r="D10" i="3"/>
  <c r="D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E10" i="3"/>
  <c r="E5" i="3"/>
  <c r="E4" i="3"/>
  <c r="E8" i="3"/>
  <c r="E9" i="3"/>
  <c r="E3" i="3"/>
</calcChain>
</file>

<file path=xl/sharedStrings.xml><?xml version="1.0" encoding="utf-8"?>
<sst xmlns="http://schemas.openxmlformats.org/spreadsheetml/2006/main" count="991" uniqueCount="294">
  <si>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</si>
  <si>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</si>
  <si>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</si>
  <si>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</si>
  <si>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</si>
  <si>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</si>
  <si>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</si>
  <si>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</si>
  <si>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</si>
  <si>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</si>
  <si>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</si>
  <si>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</si>
  <si>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</si>
  <si>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</si>
  <si>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</si>
  <si>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</si>
  <si>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</si>
  <si>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</si>
  <si>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</si>
  <si>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</si>
  <si>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</si>
  <si>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</si>
  <si>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</si>
  <si>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</si>
  <si>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</si>
  <si>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</si>
  <si>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</si>
  <si>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</si>
  <si>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</si>
  <si>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</si>
  <si>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</si>
  <si>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</si>
  <si>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</si>
  <si>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</si>
  <si>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</si>
  <si>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</si>
  <si>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</si>
  <si>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</si>
  <si>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</si>
  <si>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</si>
  <si>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</si>
  <si>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</si>
  <si>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</si>
  <si>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</si>
  <si>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</si>
  <si>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</si>
  <si>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</si>
  <si>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</si>
  <si>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</si>
  <si>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</si>
  <si>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</si>
  <si>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</si>
  <si>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</si>
  <si>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</si>
  <si>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</si>
  <si>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</si>
  <si>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</si>
  <si>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</si>
  <si>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</si>
  <si>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</si>
  <si>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</si>
  <si>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</si>
  <si>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</si>
  <si>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</si>
  <si>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</si>
  <si>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</si>
  <si>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</si>
  <si>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</si>
  <si>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</si>
  <si>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</si>
  <si>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</si>
  <si>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</si>
  <si>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</si>
  <si>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</si>
  <si>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</si>
  <si>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</si>
  <si>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</si>
  <si>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</si>
  <si>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</si>
  <si>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</si>
  <si>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</si>
  <si>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</si>
  <si>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</si>
  <si>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</si>
  <si>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</si>
  <si>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</si>
  <si>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</si>
  <si>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</si>
  <si>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</si>
  <si>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</si>
  <si>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</si>
  <si>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</si>
  <si>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</si>
  <si>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</si>
  <si>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</si>
  <si>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</si>
  <si>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</si>
  <si>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</si>
  <si>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</si>
  <si>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</si>
  <si>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</si>
  <si>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</si>
  <si>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</si>
  <si>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</si>
  <si>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</si>
  <si>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</si>
  <si>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</si>
  <si>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</si>
  <si>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</si>
  <si>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</si>
  <si>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</si>
  <si>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</si>
  <si>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</si>
  <si>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</si>
  <si>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</si>
  <si>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</si>
  <si>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</si>
  <si>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</si>
  <si>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</si>
  <si>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</si>
  <si>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</si>
  <si>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</si>
  <si>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</si>
  <si>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</si>
  <si>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</si>
  <si>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</si>
  <si>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</si>
  <si>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</si>
  <si>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</si>
  <si>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</si>
  <si>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</si>
  <si>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</si>
  <si>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</si>
  <si>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</si>
  <si>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</si>
  <si>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</si>
  <si>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</si>
  <si>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</si>
  <si>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</si>
  <si>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</si>
  <si>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</si>
  <si>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</si>
  <si>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</si>
  <si>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</si>
  <si>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</si>
  <si>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</si>
  <si>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</si>
  <si>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</si>
  <si>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</si>
  <si>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</si>
  <si>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</si>
  <si>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</si>
  <si>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</si>
  <si>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</si>
  <si>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</si>
  <si>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</si>
  <si>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</si>
  <si>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</si>
  <si>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</si>
  <si>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</si>
  <si>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</si>
  <si>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</si>
  <si>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</si>
  <si>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Boule de feu</t>
  </si>
  <si>
    <t>&gt;Une lame de glace vient grandir le long d'une arme que vous touchez. Augmente la portée de l'arme d'une case. L'extension inflige des dégâts tranchants. Dure 1 min, casse après 8 coups **réussis**.</t>
  </si>
  <si>
    <t>Lance de givre</t>
  </si>
  <si>
    <t>Cône de givre</t>
  </si>
  <si>
    <t>&gt;Se téléporte à un point visible à 9 cases max.</t>
  </si>
  <si>
    <t>Téléportation</t>
  </si>
  <si>
    <t>Foudroiement</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</si>
  <si>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</si>
  <si>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</si>
  <si>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</si>
  <si>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</si>
  <si>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</si>
  <si>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</si>
  <si>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</si>
  <si>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</si>
  <si>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Vous gagnez pendant 1 minute une vision dans le noir à 12 cases.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</si>
  <si>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</si>
  <si>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</si>
  <si>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</si>
  <si>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</si>
  <si>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</si>
  <si>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</si>
  <si>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</si>
  <si>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</si>
  <si>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</si>
  <si>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</si>
  <si>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</si>
  <si>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</si>
  <si>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</si>
  <si>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</si>
  <si>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</si>
  <si>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</si>
  <si>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</si>
  <si>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</si>
  <si>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</si>
  <si>
    <t>Rang 1</t>
  </si>
  <si>
    <t>Rang 2</t>
  </si>
  <si>
    <t>Rang 3</t>
  </si>
  <si>
    <t>Précision</t>
  </si>
  <si>
    <t>Total général</t>
  </si>
  <si>
    <t>Nombre de Rang</t>
  </si>
  <si>
    <t>Protection suprême</t>
  </si>
  <si>
    <t>&gt;Vous vous entourez d'une imposante carapace de roche réactive qui absorbe les chocs. Vous gagnez une armure temporaire de 25PV (-5PV) pendant 2 tours. Subir un coup critique détruit l'armure mais annule l'effet critique.</t>
  </si>
  <si>
    <t>&gt;En touchant la cible, guérit l'influence, le charme et la peur, mais inflige un malus de -1 aux jets de résistance de défense pour ces effets durant 3 tours.</t>
  </si>
  <si>
    <t>&gt;Vous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t>
  </si>
  <si>
    <t>Distance</t>
  </si>
  <si>
    <t>12 cases</t>
  </si>
  <si>
    <t>3 cases</t>
  </si>
  <si>
    <t>9 cases</t>
  </si>
  <si>
    <t>Personnel</t>
  </si>
  <si>
    <t>6 cases</t>
  </si>
  <si>
    <t>18 cases</t>
  </si>
  <si>
    <t>Toucher</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</si>
  <si>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t>
  </si>
  <si>
    <t>&gt;Lance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</si>
  <si>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t>
  </si>
  <si>
    <t>&gt;Votre cible doit faire un [[3. Résistance aux chocs#Le jet de résistance|jet de résistance]] (d8/5 + mod. d'[[1. Entrainement#L'intelligence|intelligence]]) aux [[1. Magie#Les sorts de savoir|sorts de savoir]]. En cas d'échec, elle subit un point de [[3. Fatigue et repos#Fatigue temporaire|fatigue temporaire]].</t>
  </si>
  <si>
    <t>&gt; Vous récupérez un point de [[3. Fatigue et repos#Fatigue persistante|fatigue persistante]] de votre cible.</t>
  </si>
  <si>
    <t>Piège de cristal</t>
  </si>
  <si>
    <t>&gt;Vous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t>
  </si>
  <si>
    <t>&gt;Vous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t>
  </si>
  <si>
    <t>Essence magique</t>
  </si>
  <si>
    <t>Vision arcanique</t>
  </si>
  <si>
    <t xml:space="preserve">&gt;Vous êtes capable d'identifier toutes les composantes d'un sort, d'un enchantement ou d'un objet magique. </t>
  </si>
  <si>
    <t xml:space="preserve">&gt;Pendant 10 minutes, vous pouvez percevoir toute trace de magie sous forme de tache bleutée laissant une faible persistance sur votre rétine. </t>
  </si>
  <si>
    <t>&gt;Vous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t>
  </si>
  <si>
    <t>Rafistolage</t>
  </si>
  <si>
    <t>&gt;Lorsque vous êtes visé par une attaque, vous créez une couche de glace autour de votre armure, lui permettant de subir l'intégralité des dégâts sur le coup.</t>
  </si>
  <si>
    <t>&gt;Faites un jet d'attaque avec la [[1. Entrainement#La psyché|psyché]]. Vous imposez un jet de concentration à une cible que vous voyez. La difficulté est de 4d6+4.</t>
  </si>
  <si>
    <t>&gt;Fait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t>
  </si>
  <si>
    <t>Tempête de givre</t>
  </si>
  <si>
    <t>Armure frigorifique</t>
  </si>
  <si>
    <t>&gt;Crée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t>
  </si>
  <si>
    <t>&gt;Génère un champ de foudre statique autour de vous pendant 1 minute. Toute personne qui cours à 2 cases de vous reçoit un choc électrique de 1d6[[2. Glossaire#Jet explosif|!]] dégâts de [[4. Les types de dégâts#Foudre|foudre]].</t>
  </si>
  <si>
    <t>&gt;Vous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t>
  </si>
  <si>
    <t>Télékinésie</t>
  </si>
  <si>
    <t>TODO: Illusion majeure #idee</t>
  </si>
  <si>
    <t>TODO: Illusion modérée #idee</t>
  </si>
  <si>
    <t>TODO: Illusion mineure #idee</t>
  </si>
  <si>
    <t>(vide)</t>
  </si>
  <si>
    <t>&gt;Lorsque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t>
  </si>
  <si>
    <t>Embrasement réflexe</t>
  </si>
  <si>
    <t>&gt;Vous repoussez un projectile physique ou magique de rang 1 qui passe à 3 cases de vous vers l'attaquant d'origine.</t>
  </si>
  <si>
    <t>Mutisme</t>
  </si>
  <si>
    <t>&gt;Place une zone de puissance electrisante de 2 cases de rayon pendant un tour. Toute personne qui se déplace dans cette zone prends 1d4! dégâts de foudre par case parcouru.</t>
  </si>
  <si>
    <t>Epuisement répété</t>
  </si>
  <si>
    <t>&gt;Faites un jet d'attaque avec la [[1. Entrainement#La psyché|psyché]]. Vous infligez 1d6 point de dégâts [[4. Les types de dégâts#Neutre|magique]] par [[3. Fatigue et repos#La fatigue|point de fatigue]] de la cible.</t>
  </si>
  <si>
    <t>&gt;Crée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t>
  </si>
  <si>
    <t>Foudroiement energetique</t>
  </si>
  <si>
    <t>&gt;Vous et votre cible permutez de place. Si votre cible n'est pas consentante, elle peut réussir un [[3. Résistance aux chocs#Le jet de résistance|jet de résistance]] (d10/6 + mod. de [[1. Entrainement#La psyché|psyché]]) de [[1. Entrainement#La psyché|psyché]] pour ne pas être permuter.</t>
  </si>
  <si>
    <t>&gt;Durant 1 minute, la cible touchée gagne un point d'action. Cependant, elle subit 2d4[[2. Glossaire#Jet explosif|!]] dégâts de [[4. Les types de dégâts#Foudre|foudre]] en le dépensant.</t>
  </si>
  <si>
    <t>&gt;Vous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t>
  </si>
  <si>
    <t>&gt;Vous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t>
  </si>
  <si>
    <t>&gt;Vous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t>
  </si>
  <si>
    <t>&gt;Jusqu'à la fin de votre prochain tour, vous imposez un [[2. Glossaire#Avantage et désavantage|désavantage]] à toute personne qui essaye de vous [[2. Actions en combat#Contraindre|contraindre]].</t>
  </si>
  <si>
    <t>&gt;Vous offrez une [[4. Les types de dégâts#Résistances et vulnérabilités|résistance]] au [[4. Les types de dégâts#Feu|feu]] ainsi qu'une armure de 20 PV (-5 PV) à votre cible. Votre cible voit sa vitesse de course réduite de 2 cases.</t>
  </si>
  <si>
    <t>Magie volée</t>
  </si>
  <si>
    <t>&gt;Durant 3 tours, chaque fois que vous êtes explicitement cibler par un sort (hors effet de zone), vous gagnez un nombre de mana égal à la moitié du mana dépensé.</t>
  </si>
  <si>
    <t>&gt; Vous vous [[1. Aspect#Transformations|transformez]] immédiatement sans avoir à faire de jet. Après 5 tours, vous reprenez forme humaine et ne pouvez plus vous transformez pendant 5 tours.</t>
  </si>
  <si>
    <t>&gt;Désignez une zone de 2 cases de rayon. Toutes personne dans la zone doit réussir un jet de résistance (d10/6 + mod. de psyché) de constitution ou devient sourd pendant 2 tours.</t>
  </si>
  <si>
    <t>&gt;Désignez une zone de 2 cases de rayon. Toutes personne dans la zone doit réussir un jet de résistance (d6/4 + mod. de psyché) de constitution ou subit un malus de -3 en compréhension et en représentation.</t>
  </si>
  <si>
    <t>Glisse gracieuse</t>
  </si>
  <si>
    <t>Menace statique</t>
  </si>
  <si>
    <t>Vrombissement assourdissant</t>
  </si>
  <si>
    <t>Pilier de force</t>
  </si>
  <si>
    <t>Choc de roche</t>
  </si>
  <si>
    <t>Peau de pierre</t>
  </si>
  <si>
    <t>Insaisissable</t>
  </si>
  <si>
    <t>Echange d'énergie</t>
  </si>
  <si>
    <t>Corrosion</t>
  </si>
  <si>
    <t>Appel de la nature</t>
  </si>
  <si>
    <t>Visions de terreur</t>
  </si>
  <si>
    <t>Manteau de flamme</t>
  </si>
  <si>
    <t>Gel encombrant</t>
  </si>
  <si>
    <t>Choc auditif</t>
  </si>
  <si>
    <t>Aura statique</t>
  </si>
  <si>
    <t>Lame de roc</t>
  </si>
  <si>
    <t>Torgnole rocailleuse</t>
  </si>
  <si>
    <t>Faiblesse d'éther</t>
  </si>
  <si>
    <t>Partage d'esprit</t>
  </si>
  <si>
    <t>Air chaotique</t>
  </si>
  <si>
    <t>Bénédiction des vents</t>
  </si>
  <si>
    <t>Pression descendante</t>
  </si>
  <si>
    <t>Bourrasque opposante</t>
  </si>
  <si>
    <t>Epuisement spontané</t>
  </si>
  <si>
    <t>Echange d'énergie supérieur</t>
  </si>
  <si>
    <t>Vision dans le noir</t>
  </si>
  <si>
    <t>Permutation</t>
  </si>
  <si>
    <t>Erection de matière</t>
  </si>
  <si>
    <t>Densité tranchante</t>
  </si>
  <si>
    <t>Redirection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</si>
</sst>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 x14ac:knownFonts="1">
    <font>
      <sz val="11"/>
      <color theme="1"/>
      <name val="Calibri"/>
      <family val="2"/>
      <scheme val="minor"/>
    </font>
    <font>
      <sz val="11"/>
      <color theme="1"/>
      <name val="Calibri"/>
      <family val="2"/>
      <scheme val="minor"/>
    </font>
    <font>
      <sz val="8"/>
      <name val="Calibri"/>
      <family val="2"/>
      <scheme val="minor"/>
    </font>
    <font>
      <b/>
      <sz val="11"/>
      <color theme="1"/>
      <name val="Microsoft YaHei"/>
      <family val="2"/>
    </font>
  </fonts>
  <fills count="4">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s>
  <borders count="2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63">
    <xf numFmtId="0" fontId="0" fillId="0" borderId="0" xfId="0"/>
    <xf numFmtId="49" fontId="0" fillId="0" borderId="0" xfId="0" applyNumberFormat="1"/>
    <xf numFmtId="1" fontId="0" fillId="0" borderId="0" xfId="0" applyNumberFormat="1"/>
    <xf numFmtId="0" fontId="0" fillId="0" borderId="3" xfId="0" applyBorder="1"/>
    <xf numFmtId="0" fontId="0" fillId="0" borderId="5" xfId="0" applyBorder="1"/>
    <xf numFmtId="0" fontId="0" fillId="0" borderId="1" xfId="0"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7" xfId="0" applyBorder="1"/>
    <xf numFmtId="0" fontId="0" fillId="0" borderId="0" xfId="0" applyAlignment="1">
      <alignment horizontal="left" vertical="center"/>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11" xfId="0" applyBorder="1" applyAlignment="1">
      <alignment horizontal="center"/>
    </xf>
    <xf numFmtId="0" fontId="0" fillId="0" borderId="20" xfId="0" applyBorder="1" applyAlignment="1">
      <alignment horizontal="center"/>
    </xf>
    <xf numFmtId="164" fontId="0" fillId="0" borderId="2" xfId="1" applyNumberFormat="1" applyFont="1" applyBorder="1" applyAlignment="1">
      <alignment horizontal="center"/>
    </xf>
    <xf numFmtId="164" fontId="0" fillId="0" borderId="4" xfId="1" applyNumberFormat="1" applyFont="1" applyBorder="1" applyAlignment="1">
      <alignment horizontal="center"/>
    </xf>
    <xf numFmtId="164" fontId="0" fillId="0" borderId="6" xfId="1" applyNumberFormat="1" applyFont="1" applyBorder="1" applyAlignment="1">
      <alignment horizontal="center"/>
    </xf>
    <xf numFmtId="164" fontId="0" fillId="0" borderId="21" xfId="1" applyNumberFormat="1" applyFont="1" applyBorder="1" applyAlignment="1">
      <alignment horizontal="center"/>
    </xf>
    <xf numFmtId="164" fontId="0" fillId="0" borderId="22" xfId="1" applyNumberFormat="1" applyFont="1" applyBorder="1" applyAlignment="1">
      <alignment horizontal="center"/>
    </xf>
    <xf numFmtId="164" fontId="0" fillId="0" borderId="23" xfId="1" applyNumberFormat="1" applyFont="1" applyBorder="1" applyAlignment="1">
      <alignment horizontal="center"/>
    </xf>
    <xf numFmtId="0" fontId="0" fillId="0" borderId="7" xfId="0" pivotButton="1" applyBorder="1"/>
    <xf numFmtId="0" fontId="0" fillId="0" borderId="24" xfId="0" applyBorder="1"/>
    <xf numFmtId="0" fontId="0" fillId="0" borderId="25" xfId="0" applyBorder="1"/>
    <xf numFmtId="0" fontId="0" fillId="0" borderId="26" xfId="0" applyBorder="1"/>
    <xf numFmtId="0" fontId="0" fillId="0" borderId="9" xfId="0" applyBorder="1" applyAlignment="1">
      <alignment horizontal="center"/>
    </xf>
    <xf numFmtId="0" fontId="0" fillId="0" borderId="7" xfId="0" pivotButton="1" applyBorder="1" applyAlignment="1">
      <alignment horizontal="center"/>
    </xf>
    <xf numFmtId="0" fontId="0" fillId="0" borderId="24" xfId="0" applyBorder="1" applyAlignment="1">
      <alignment horizontal="center"/>
    </xf>
    <xf numFmtId="0" fontId="0" fillId="0" borderId="26" xfId="0" applyBorder="1" applyAlignment="1">
      <alignment horizontal="center"/>
    </xf>
    <xf numFmtId="0" fontId="0" fillId="0" borderId="27" xfId="0" applyBorder="1" applyAlignment="1">
      <alignment horizontal="center" vertical="center" wrapText="1"/>
    </xf>
    <xf numFmtId="0" fontId="0" fillId="0" borderId="16"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left" indent="1"/>
    </xf>
    <xf numFmtId="0" fontId="0" fillId="0" borderId="28" xfId="0" applyBorder="1" applyAlignment="1">
      <alignment horizontal="left" indent="1"/>
    </xf>
    <xf numFmtId="0" fontId="3" fillId="0" borderId="0" xfId="0" applyFont="1" applyAlignment="1">
      <alignment horizontal="center"/>
    </xf>
    <xf numFmtId="0" fontId="0" fillId="0" borderId="24" xfId="0" pivotButton="1" applyBorder="1"/>
    <xf numFmtId="0" fontId="0" fillId="0" borderId="7" xfId="0" applyBorder="1" applyAlignment="1">
      <alignment horizontal="left"/>
    </xf>
    <xf numFmtId="0" fontId="0" fillId="0" borderId="27" xfId="0" applyBorder="1" applyAlignment="1">
      <alignment horizontal="left" indent="1"/>
    </xf>
    <xf numFmtId="0" fontId="0" fillId="0" borderId="25" xfId="0" applyBorder="1" applyAlignment="1">
      <alignment horizontal="center"/>
    </xf>
    <xf numFmtId="0" fontId="0" fillId="0" borderId="7" xfId="0" applyBorder="1" applyAlignment="1">
      <alignment horizont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11" xfId="0" applyBorder="1" applyAlignment="1">
      <alignment horizontal="left" indent="1"/>
    </xf>
    <xf numFmtId="0" fontId="0" fillId="0" borderId="7" xfId="0" applyBorder="1" applyAlignment="1">
      <alignment horizontal="left" indent="1"/>
    </xf>
  </cellXfs>
  <cellStyles count="2">
    <cellStyle name="Normal" xfId="0" builtinId="0"/>
    <cellStyle name="Pourcentage" xfId="1" builtinId="5"/>
  </cellStyles>
  <dxfs count="82">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font>
        <b/>
        <strike val="0"/>
        <outline val="0"/>
        <shadow val="0"/>
        <u val="none"/>
        <vertAlign val="baseline"/>
        <sz val="11"/>
        <color theme="1"/>
        <name val="Microsoft YaHei"/>
        <family val="2"/>
        <scheme val="none"/>
      </font>
      <alignment horizontal="center" vertical="bottom"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
      <alignment vertical="bottom"/>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alignment horizontal="center"/>
    </dxf>
    <dxf>
      <alignment horizontal="center"/>
    </dxf>
    <dxf>
      <border>
        <right style="thin">
          <color indexed="64"/>
        </right>
      </border>
    </dxf>
    <dxf>
      <border>
        <right style="thin">
          <color indexed="64"/>
        </right>
      </border>
    </dxf>
    <dxf>
      <border>
        <right style="thin">
          <color indexed="64"/>
        </right>
      </border>
    </dxf>
    <dxf>
      <border>
        <right style="thin">
          <color indexed="64"/>
        </right>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right style="thin">
          <color indexed="64"/>
        </right>
        <bottom style="thin">
          <color indexed="64"/>
        </bottom>
        <vertical style="thin">
          <color indexed="64"/>
        </vertical>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customXml" Target="../customXml/item1.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Aspects"/>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eace" refreshedDate="45825.946750810188" createdVersion="8" refreshedVersion="8" minRefreshableVersion="3" recordCount="123" xr:uid="{805874E3-90C4-4A74-B6B7-26F78E8EC6CD}">
  <cacheSource type="worksheet">
    <worksheetSource name="Sorts"/>
  </cacheSource>
  <cacheFields count="11">
    <cacheField name="Sort" numFmtId="0">
      <sharedItems containsBlank="1"/>
    </cacheField>
    <cacheField name="Rang" numFmtId="0">
      <sharedItems containsSemiMixedTypes="0" containsString="0" containsNumber="1" containsInteger="1" minValue="1" maxValue="3" count="3">
        <n v="1"/>
        <n v="2"/>
        <n v="3"/>
      </sharedItems>
    </cacheField>
    <cacheField name="Type" numFmtId="0">
      <sharedItems containsBlank="1" count="4">
        <s v="Precision"/>
        <s v="Savoir"/>
        <s v="Instinct"/>
        <m/>
      </sharedItems>
    </cacheField>
    <cacheField name="Element" numFmtId="0">
      <sharedItems count="9">
        <s v="Feu"/>
        <s v="Glace"/>
        <s v="Foudre"/>
        <s v="Terre"/>
        <s v="Arcane"/>
        <s v="Air"/>
        <s v="Nature"/>
        <s v="Lumière"/>
        <s v="Psy"/>
      </sharedItems>
    </cacheField>
    <cacheField name="Coût" numFmtId="0">
      <sharedItems containsString="0" containsBlank="1" containsNumber="1" containsInteger="1" minValue="2" maxValue="9"/>
    </cacheField>
    <cacheField name="Incantation" numFmtId="0">
      <sharedItems containsBlank="1"/>
    </cacheField>
    <cacheField name="Concentration" numFmtId="0">
      <sharedItems containsSemiMixedTypes="0" containsString="0" containsNumber="1" containsInteger="1" minValue="0" maxValue="1"/>
    </cacheField>
    <cacheField name="Distance" numFmtId="0">
      <sharedItems containsBlank="1"/>
    </cacheField>
    <cacheField name="Categorie" numFmtId="0">
      <sharedItems/>
    </cacheField>
    <cacheField name="Commentaire" numFmtId="0">
      <sharedItems containsBlank="1" count="7">
        <m/>
        <s v="TODO"/>
        <s v="TODO: Illusion mineure #idee"/>
        <s v="TODO: Illusion modérée #idee"/>
        <s v="TODO: Illusion majeure #idee"/>
        <s v="TODO: Zone de silence #idee" u="1"/>
        <s v="IDEE: Télékinesie" u="1"/>
      </sharedItems>
    </cacheField>
    <cacheField name="Description"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23">
  <r>
    <s v="Trait de feu"/>
    <x v="0"/>
    <x v="0"/>
    <x v="0"/>
    <n v="3"/>
    <s v="action"/>
    <n v="0"/>
    <s v="12 cases"/>
    <s v="Dégats"/>
    <x v="0"/>
    <s v="&gt;Faites un jet d'attaque avec la [[1. Entrainement#La dextérité|dextérité]]. Tire un faisceau de flamme, infligeant 2d8 dégâts de feu en touchant."/>
  </r>
  <r>
    <s v="Echauffement"/>
    <x v="0"/>
    <x v="1"/>
    <x v="0"/>
    <n v="2"/>
    <s v="action"/>
    <n v="0"/>
    <s v="3 cases"/>
    <s v="Buff"/>
    <x v="0"/>
    <s v="&gt;Chauffe à blanc une arme ou un projectile. Jusqu'au début de votre prochain tour, les coups portés avec l'objet infligent 1d6 dégâts supplémentaire. Les dégâts de l'arme deviennent des dégâts de feu."/>
  </r>
  <r>
    <s v="Projection bouillonnante"/>
    <x v="0"/>
    <x v="0"/>
    <x v="0"/>
    <n v="6"/>
    <s v="action"/>
    <n v="0"/>
    <s v="6 cases"/>
    <s v="Dégats"/>
    <x v="0"/>
    <s v="&gt;Lance un projectile de feu éclatant sur 3 cases de rayon. Chaque personne dans le rayon doit réussir un [[3. Résistance aux chocs#Le jet de résistance|jet de résistance]](d10/6 + mod. d'[[1. Entrainement#L'intelligence|intelligence]]) ou subit 2d8 dégâts de feu."/>
  </r>
  <r>
    <s v="Corps ardent"/>
    <x v="0"/>
    <x v="1"/>
    <x v="0"/>
    <n v="6"/>
    <s v="action"/>
    <n v="1"/>
    <s v="Personnel"/>
    <s v="Dégats"/>
    <x v="0"/>
    <s v="&gt;Pendant 5 tours, toute personne terminant son tour à une case de vous subit 1d10 dégâts de feu."/>
  </r>
  <r>
    <s v="Gravure marquante"/>
    <x v="0"/>
    <x v="1"/>
    <x v="0"/>
    <n v="3"/>
    <s v="10 minutes"/>
    <n v="0"/>
    <s v="Toucher"/>
    <s v="Utilitaire"/>
    <x v="0"/>
    <s v="&gt; Grave une marque discrète sur un objet, restant durant 3 jours ou jusqu'à ce que quelqu'un rentre en contact avec la marque, auquel cas cette dernière lui sera gravée avec une désagréable sensation de brulure. La brulure disparait après 3 jours."/>
  </r>
  <r>
    <s v="Embrasement réflexe"/>
    <x v="0"/>
    <x v="2"/>
    <x v="0"/>
    <n v="3"/>
    <s v="reaction"/>
    <n v="0"/>
    <s v="Toucher"/>
    <s v="Tank"/>
    <x v="0"/>
    <s v="&gt;Lorsque vous êtes frapper par une arme au corps à corps (hors [[4. Équipement#Les armes naturelles|arme naturelle]]), le bref contact vous permet d'embrasser l'arme adverse. La cible doit réussir un [[3. Résistance aux chocs#Le jet de résistance|jet de résistance]] (d8/5 + mod. de [[1. Entrainement#La psyché|psyché]]) de [[1. Entrainement#La constitution|constitution]] ou fait tomber son arme sur sa propre case."/>
  </r>
  <r>
    <s v="Protection supérieure"/>
    <x v="0"/>
    <x v="2"/>
    <x v="1"/>
    <n v="3"/>
    <s v="reaction"/>
    <n v="0"/>
    <s v="Personnel"/>
    <s v="Tank"/>
    <x v="0"/>
    <s v="&gt;Lorsque vous êtes visé par une attaque, vous créez une couche de glace autour de votre armure, lui permettant de subir l'intégralité des dégâts sur le coup."/>
  </r>
  <r>
    <s v="Lames de glace"/>
    <x v="0"/>
    <x v="0"/>
    <x v="1"/>
    <n v="3"/>
    <s v="action"/>
    <n v="0"/>
    <s v="12 cases"/>
    <s v="Dégats"/>
    <x v="0"/>
    <s v="&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
  </r>
  <r>
    <s v="No name"/>
    <x v="0"/>
    <x v="1"/>
    <x v="1"/>
    <n v="2"/>
    <s v="action"/>
    <n v="0"/>
    <s v="Personnel"/>
    <s v="Mouvement"/>
    <x v="0"/>
    <s v="&gt;Crée une fine couche de glace sous vos pieds vous permettant de glisser rapidement. Vous gagnez un bonus de +2 cases de courses et vous doublez le bonus de charge si vous parcourez au moins une fois votre vitesse de course. Vous pouvez gratuitement [[2. Actions en combat#Courir|courir]] ou [[2. Actions en combat#Charger|charger]] après avoir lancer ce sort."/>
  </r>
  <r>
    <m/>
    <x v="0"/>
    <x v="1"/>
    <x v="1"/>
    <m/>
    <s v="action"/>
    <n v="1"/>
    <m/>
    <s v="Utilitaire"/>
    <x v="1"/>
    <m/>
  </r>
  <r>
    <m/>
    <x v="0"/>
    <x v="2"/>
    <x v="1"/>
    <m/>
    <s v="action"/>
    <n v="0"/>
    <m/>
    <s v="Buff"/>
    <x v="1"/>
    <m/>
  </r>
  <r>
    <m/>
    <x v="0"/>
    <x v="0"/>
    <x v="1"/>
    <m/>
    <s v="action"/>
    <n v="0"/>
    <m/>
    <s v="Dégats"/>
    <x v="1"/>
    <m/>
  </r>
  <r>
    <s v="Chaine de foudre"/>
    <x v="0"/>
    <x v="0"/>
    <x v="2"/>
    <n v="3"/>
    <s v="action"/>
    <n v="0"/>
    <s v="12 cases"/>
    <s v="Dégats"/>
    <x v="0"/>
    <s v="&gt;Faites un jet d'attaque avec la [[1. Entrainement#Dextérité|dextérité]]. Frappe une cible visible puis rebondit sur jusqu'à 2 autres cibles. Inflige 1d8[[2. Glossaire#Jet explosif|!]] dégâts de foudre."/>
  </r>
  <r>
    <s v="Vitesse lumière"/>
    <x v="0"/>
    <x v="1"/>
    <x v="2"/>
    <n v="2"/>
    <s v="action"/>
    <n v="0"/>
    <s v="Personnel"/>
    <s v="Mouvement"/>
    <x v="0"/>
    <s v="&gt;Se téléporte à 6 cases tant que vous pouvez voir et courir vers la destination."/>
  </r>
  <r>
    <s v="Décharge de foudre"/>
    <x v="0"/>
    <x v="0"/>
    <x v="2"/>
    <n v="3"/>
    <s v="action"/>
    <n v="0"/>
    <s v="12 cases"/>
    <s v="Dégats"/>
    <x v="0"/>
    <s v="&gt;Faites un jet d'attaque avec la [[1. Entrainement#La dextérité|dextérité]]. Tire une décharge foudroyante d'énergie, infligeant 4d4[[2. Glossaire#Jet explosif|!]] dégâts de foudre."/>
  </r>
  <r>
    <s v="No name"/>
    <x v="0"/>
    <x v="2"/>
    <x v="2"/>
    <n v="5"/>
    <s v="action"/>
    <n v="0"/>
    <s v="6 cases"/>
    <s v="Debuff"/>
    <x v="0"/>
    <s v="&gt;Place une zone de puissance electrisante de 2 cases de rayon pendant un tour. Toute personne qui se déplace dans cette zone prends 1d4! dégâts de foudre par case parcouru."/>
  </r>
  <r>
    <m/>
    <x v="0"/>
    <x v="2"/>
    <x v="2"/>
    <m/>
    <s v="reaction"/>
    <n v="0"/>
    <m/>
    <s v="Mouvement"/>
    <x v="1"/>
    <m/>
  </r>
  <r>
    <m/>
    <x v="0"/>
    <x v="2"/>
    <x v="2"/>
    <m/>
    <s v="action"/>
    <n v="0"/>
    <m/>
    <s v="Dégats"/>
    <x v="1"/>
    <m/>
  </r>
  <r>
    <s v="No name"/>
    <x v="0"/>
    <x v="0"/>
    <x v="3"/>
    <n v="2"/>
    <s v="action"/>
    <n v="0"/>
    <s v="6 cases"/>
    <s v="Dégats"/>
    <x v="0"/>
    <s v="&gt;Faites un jet d'attaque avec la [[1. Entrainement#La dextérité|dextérité]]. Un pilier de matière est extirpé du sol pour aller frapper la cible, qui est alors déplacée d'une case. Si la cible est propulsée contre un mur, elle subit alors 3d12 dégâts contondant."/>
  </r>
  <r>
    <s v="No name"/>
    <x v="0"/>
    <x v="0"/>
    <x v="3"/>
    <n v="3"/>
    <s v="action"/>
    <n v="0"/>
    <s v="6 cases"/>
    <s v="Debuff"/>
    <x v="0"/>
    <s v="&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
  </r>
  <r>
    <s v="Bouclier tortue"/>
    <x v="0"/>
    <x v="1"/>
    <x v="3"/>
    <n v="3"/>
    <s v="action"/>
    <n v="1"/>
    <s v="Personnel"/>
    <s v="Tank"/>
    <x v="0"/>
    <s v="&gt;Durant 1 minute, vous gagnez un bonus de 2 au blocage, mais subissez également un malus de 2 à l'esquive et perdez 2 cases de vitesse de course."/>
  </r>
  <r>
    <s v="No name"/>
    <x v="0"/>
    <x v="2"/>
    <x v="3"/>
    <n v="3"/>
    <s v="reaction"/>
    <n v="0"/>
    <s v="Personnel"/>
    <s v="Tank"/>
    <x v="0"/>
    <s v="&gt; Vous gagnez une résistance aux dégâts physiques jusqu'au début de votre prochain tour."/>
  </r>
  <r>
    <m/>
    <x v="0"/>
    <x v="1"/>
    <x v="3"/>
    <m/>
    <s v="action"/>
    <n v="0"/>
    <m/>
    <s v="Support"/>
    <x v="1"/>
    <m/>
  </r>
  <r>
    <s v="Rafistolage"/>
    <x v="0"/>
    <x v="1"/>
    <x v="3"/>
    <m/>
    <s v="10 minutes"/>
    <n v="0"/>
    <s v="Toucher"/>
    <s v="Utilitaire"/>
    <x v="0"/>
    <s v="&gt;Vous rafistolez sommairement une armure abimée, lui faisant récupérer 2d10 point de vie pour 4 mana. Vous ne pouvez la réparer que 2 fois avec ce sort avant de devoir la réparer avec des procédés non magique. Cependant, certaines armures magiques ne peuvent être réparer qu'avec ce sort."/>
  </r>
  <r>
    <s v="Enchantement mineur"/>
    <x v="0"/>
    <x v="1"/>
    <x v="4"/>
    <n v="2"/>
    <s v="action"/>
    <n v="0"/>
    <s v="Personnel"/>
    <s v="Buff"/>
    <x v="0"/>
    <s v="&gt; Condense de l'énergie magique dans une arme ou un projectile sur vous. Vous faites une attaque immédiatement après avoir lancé ce sort sans dépenser d'action, infligeant 1d8 dégâts supplémentaire. Les dégâts de l'arme deviennent magique."/>
  </r>
  <r>
    <s v="Rupture de force"/>
    <x v="0"/>
    <x v="1"/>
    <x v="4"/>
    <n v="5"/>
    <s v="action"/>
    <n v="0"/>
    <s v="6 cases"/>
    <s v="Dégats"/>
    <x v="0"/>
    <s v="&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
  </r>
  <r>
    <s v="Essence magique"/>
    <x v="0"/>
    <x v="1"/>
    <x v="4"/>
    <n v="2"/>
    <s v="1 minute"/>
    <n v="0"/>
    <s v="Toucher"/>
    <s v="Utilitaire"/>
    <x v="0"/>
    <s v="&gt;Vous êtes capable d'identifier toutes les composantes d'un sort, d'un enchantement ou d'un objet magique. "/>
  </r>
  <r>
    <m/>
    <x v="0"/>
    <x v="2"/>
    <x v="4"/>
    <m/>
    <s v="action"/>
    <n v="0"/>
    <m/>
    <s v="Buff"/>
    <x v="1"/>
    <m/>
  </r>
  <r>
    <s v="Vision arcanique"/>
    <x v="0"/>
    <x v="1"/>
    <x v="4"/>
    <n v="3"/>
    <s v="1 minute"/>
    <n v="1"/>
    <s v="Personnel"/>
    <s v="Utilitaire"/>
    <x v="0"/>
    <s v="&gt;Pendant 10 minutes, vous pouvez percevoir toute trace de magie sous forme de tache bleutée laissant une faible persistance sur votre rétine. "/>
  </r>
  <r>
    <m/>
    <x v="0"/>
    <x v="0"/>
    <x v="4"/>
    <m/>
    <s v="action"/>
    <n v="0"/>
    <m/>
    <s v="Utilitaire"/>
    <x v="1"/>
    <m/>
  </r>
  <r>
    <m/>
    <x v="0"/>
    <x v="2"/>
    <x v="4"/>
    <m/>
    <s v="reaction"/>
    <n v="0"/>
    <m/>
    <s v="Support"/>
    <x v="1"/>
    <m/>
  </r>
  <r>
    <m/>
    <x v="0"/>
    <x v="1"/>
    <x v="4"/>
    <m/>
    <s v="action"/>
    <n v="0"/>
    <m/>
    <s v="Support"/>
    <x v="1"/>
    <m/>
  </r>
  <r>
    <s v="Foulée aérienne"/>
    <x v="0"/>
    <x v="1"/>
    <x v="5"/>
    <n v="3"/>
    <s v="action"/>
    <n v="0"/>
    <s v="12 cases"/>
    <s v="Buff"/>
    <x v="0"/>
    <s v="&gt;La vitesse de course de votre cible augmente de 2 cases pendant 1 minute. Elle gagne également un bonus de +1 à l'esquive."/>
  </r>
  <r>
    <s v="Pression forcée"/>
    <x v="0"/>
    <x v="0"/>
    <x v="5"/>
    <n v="5"/>
    <s v="action"/>
    <n v="0"/>
    <s v="18 cases"/>
    <s v="Mouvement"/>
    <x v="0"/>
    <s v="&gt;Crée une imposante colonne d'air descendent de 3 cases de rayon sur 12 cases de haut à 18 cases de vous. Les créatures à l'intérieur ont un malus de 1 à l'esquive. Les créatures volantes chutent de 3 cases par tour. Dure 5 tours."/>
  </r>
  <r>
    <s v="Poids plume"/>
    <x v="0"/>
    <x v="1"/>
    <x v="5"/>
    <n v="2"/>
    <s v="action"/>
    <n v="1"/>
    <s v="Toucher"/>
    <s v="Utilitaire"/>
    <x v="0"/>
    <s v="&gt;Réduit le poids d'un objet à un dixième de son poids d'origine pendant 1 minute. Fonctionne sur des objets inertes allant jusqu'à 500kg. "/>
  </r>
  <r>
    <m/>
    <x v="0"/>
    <x v="0"/>
    <x v="5"/>
    <n v="2"/>
    <s v="action"/>
    <n v="0"/>
    <s v="Personnel"/>
    <s v="Buff"/>
    <x v="0"/>
    <s v="&gt;Jusqu'à la fin de votre prochain tour, vous imposez un [[2. Glossaire#Avantage et désavantage|désavantage]] à toute personne qui essaye de vous [[2. Actions en combat#Contraindre|contraindre]]."/>
  </r>
  <r>
    <m/>
    <x v="0"/>
    <x v="0"/>
    <x v="5"/>
    <m/>
    <s v="action"/>
    <n v="0"/>
    <m/>
    <s v="Dégats"/>
    <x v="1"/>
    <m/>
  </r>
  <r>
    <m/>
    <x v="0"/>
    <x v="2"/>
    <x v="5"/>
    <m/>
    <s v="action"/>
    <n v="0"/>
    <m/>
    <s v="Support"/>
    <x v="1"/>
    <m/>
  </r>
  <r>
    <s v="Conservation"/>
    <x v="0"/>
    <x v="1"/>
    <x v="6"/>
    <n v="2"/>
    <s v="1 minute"/>
    <n v="0"/>
    <s v="Toucher"/>
    <s v="Utilitaire"/>
    <x v="0"/>
    <s v="&gt;Permet à jusqu'à 5 herbes ou préparations médicinales de se conserver 1 jour de plus. *Ne peux être utilisé qu'une seule fois par herbe/préparation.*"/>
  </r>
  <r>
    <s v="No name"/>
    <x v="0"/>
    <x v="2"/>
    <x v="6"/>
    <n v="3"/>
    <s v="action"/>
    <n v="0"/>
    <s v="Toucher"/>
    <s v="Support"/>
    <x v="0"/>
    <s v="&gt; Vous récupérez un point de fatigue temporaire de la cible que vous touchez."/>
  </r>
  <r>
    <s v="No name"/>
    <x v="0"/>
    <x v="0"/>
    <x v="6"/>
    <n v="3"/>
    <s v="action"/>
    <n v="0"/>
    <s v="9 cases"/>
    <s v="Dégats"/>
    <x v="0"/>
    <s v="&gt;Faites un jet d'attaque avec la [[1. Entrainement#La dextérité|dextérité]]. Inflige 2d8+2 dégâts magique à l'armure de la cible."/>
  </r>
  <r>
    <m/>
    <x v="0"/>
    <x v="1"/>
    <x v="6"/>
    <m/>
    <m/>
    <n v="0"/>
    <m/>
    <s v="Support"/>
    <x v="1"/>
    <m/>
  </r>
  <r>
    <s v="Absorption radieuse"/>
    <x v="0"/>
    <x v="1"/>
    <x v="7"/>
    <n v="3"/>
    <s v="action"/>
    <n v="1"/>
    <s v="9 cases"/>
    <s v="Support"/>
    <x v="0"/>
    <s v="&gt; Absorbe la lumière d'une zone de 4 cases de rayon, la faisant apparaitre comme plus sombre durant 1 minute. "/>
  </r>
  <r>
    <s v="Orbe de lumière"/>
    <x v="0"/>
    <x v="1"/>
    <x v="7"/>
    <n v="2"/>
    <s v="action"/>
    <n v="0"/>
    <s v="6 cases"/>
    <s v="Utilitaire"/>
    <x v="0"/>
    <s v="&gt; Fait apparaitre une boule de lumière immatérielle illuminant d'une lumière visible à 12 cases. Peut être bougée de 6 cases avec une action libre."/>
  </r>
  <r>
    <s v="Pas des ombres"/>
    <x v="0"/>
    <x v="2"/>
    <x v="7"/>
    <n v="4"/>
    <s v="action"/>
    <n v="0"/>
    <s v="Personnel"/>
    <s v="Mouvement"/>
    <x v="0"/>
    <s v="&gt; Si vous êtes dans une zone de noir total, vous pouvez vous téléporter dans n'importe quelle autre zone de noir total à 9 cases."/>
  </r>
  <r>
    <m/>
    <x v="0"/>
    <x v="0"/>
    <x v="7"/>
    <m/>
    <m/>
    <n v="0"/>
    <m/>
    <s v="Utilitaire"/>
    <x v="2"/>
    <m/>
  </r>
  <r>
    <s v="No name"/>
    <x v="0"/>
    <x v="2"/>
    <x v="8"/>
    <n v="6"/>
    <s v="action"/>
    <n v="0"/>
    <s v="3 cases"/>
    <s v="Debuff"/>
    <x v="0"/>
    <s v="&gt;Envenime l'esprit de la cible, brouillant sa perception de la réalité et lui faisant voir des images subliminales de chaos. La cible fait un [[3. Résistance aux chocs#Le jet de résistance|jet de résistance]] (d8/4 + mod. de psyché) à la [[2. Liste des effets#Apeuré|peur]]."/>
  </r>
  <r>
    <m/>
    <x v="0"/>
    <x v="2"/>
    <x v="8"/>
    <m/>
    <m/>
    <n v="0"/>
    <m/>
    <s v="Dégats"/>
    <x v="1"/>
    <m/>
  </r>
  <r>
    <m/>
    <x v="0"/>
    <x v="1"/>
    <x v="8"/>
    <m/>
    <m/>
    <n v="1"/>
    <m/>
    <s v="Debuff"/>
    <x v="1"/>
    <m/>
  </r>
  <r>
    <s v="Boule de feu"/>
    <x v="1"/>
    <x v="0"/>
    <x v="0"/>
    <n v="8"/>
    <s v="action"/>
    <n v="0"/>
    <s v="18 cases"/>
    <s v="Dégats"/>
    <x v="0"/>
    <s v="&gt;Lance une boule de feu éclatant sur 4 cases de rayon. Chaque personne dans le rayon doit faire un [[3. Résistance aux chocs#Le jet de résistance|jet de résistance]] (d10/6 + mod. d'[[1. Entrainement#L'intelligence|intelligence]]) aux [[1. Magie#Les sorts de précision|sorts de précision]] ou subit 4d10 dégâts de [[4. Les types de dégâts#Feu|feu]]."/>
  </r>
  <r>
    <s v="No name"/>
    <x v="1"/>
    <x v="1"/>
    <x v="0"/>
    <n v="6"/>
    <s v="action"/>
    <n v="1"/>
    <s v="Personnel"/>
    <s v="Dégats"/>
    <x v="0"/>
    <s v="&gt;Vous vous entourez d'un manteau de flamme pendant 1 minute. Tant que vous maintenez les flammes, vous subissez 1d4 dégâts de [[4. Les types de dégâts#Feu|feu]] et avez une [[1. Combat#Résistances et vulnérabilités|résistance]] aux dégâts de [[4. Les types de dégâts#Glace|glace]]. En un point d'action, vous pouvez mettre fin au sort en expulsant les flammes à 2 cases de vous, imposant un jet de résistance aux [[1. Magie#Les sorts de savoir|sorts de savoir]] (d4/3 + mod. d'[[1. Entrainement#L'intelligence|intelligence]]) à toute personne dans la zone qui subissent alors 2d10 de dégâts de [[4. Les types de dégâts#Feu|feu]] en cas d'échec."/>
  </r>
  <r>
    <m/>
    <x v="1"/>
    <x v="3"/>
    <x v="0"/>
    <m/>
    <m/>
    <n v="0"/>
    <m/>
    <s v="Debuff"/>
    <x v="1"/>
    <m/>
  </r>
  <r>
    <m/>
    <x v="1"/>
    <x v="3"/>
    <x v="0"/>
    <m/>
    <m/>
    <n v="0"/>
    <m/>
    <s v="Utilitaire"/>
    <x v="1"/>
    <m/>
  </r>
  <r>
    <m/>
    <x v="1"/>
    <x v="3"/>
    <x v="0"/>
    <m/>
    <m/>
    <n v="0"/>
    <m/>
    <s v="Support"/>
    <x v="1"/>
    <m/>
  </r>
  <r>
    <s v="Lance de givre"/>
    <x v="1"/>
    <x v="1"/>
    <x v="1"/>
    <n v="3"/>
    <s v="action"/>
    <n v="0"/>
    <s v="Toucher"/>
    <s v="Buff"/>
    <x v="0"/>
    <s v="&gt;Une lame de glace vient grandir le long d'une arme que vous touchez. Augmente la portée de l'arme d'une case. L'extension inflige des dégâts tranchants. Dure 1 min, casse après 8 coups **réussis**."/>
  </r>
  <r>
    <s v="Cône de givre"/>
    <x v="1"/>
    <x v="0"/>
    <x v="1"/>
    <n v="8"/>
    <s v="action"/>
    <n v="0"/>
    <s v="12 cases"/>
    <s v="Dégats"/>
    <x v="0"/>
    <s v="&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5d8 dégâts de [[4. Les types de dégâts#Glace|glace]]."/>
  </r>
  <r>
    <s v="No name"/>
    <x v="1"/>
    <x v="2"/>
    <x v="1"/>
    <n v="5"/>
    <s v="action"/>
    <n v="0"/>
    <s v="3 cases"/>
    <s v="Debuff"/>
    <x v="0"/>
    <s v="&gt;Vous tentez de geler les jambes de votre cible. La cible doit faire un jet de résistance (d8/5 + mod. de [[1. Entrainement#La psyché|psyché]]) aux [[1. Magie#Les sorts instinctif|sorts d'instinct]] ou est [[2. Liste des effets#Agrippé|agrippée]] durant 3 tours. Vous ne pouvez pas vous déplacer malgré la contrainte."/>
  </r>
  <r>
    <m/>
    <x v="1"/>
    <x v="3"/>
    <x v="1"/>
    <m/>
    <m/>
    <n v="0"/>
    <m/>
    <s v="Tank"/>
    <x v="1"/>
    <m/>
  </r>
  <r>
    <s v="Piège de cristal"/>
    <x v="1"/>
    <x v="1"/>
    <x v="1"/>
    <n v="6"/>
    <s v="action"/>
    <n v="0"/>
    <s v="12 cases"/>
    <s v="Dégats"/>
    <x v="0"/>
    <s v="&gt;Vous placez une mine de glace sur une case inoccupée. Lorsqu'elle subit le moindre dégât, elle explose sur 2 cases et inflige 3d6 de dégâts [[4. Les types de dégâts#Perçant|perçant]]. Si un personnage marche dessus, il subit 4d8 de dégâts [[4. Les types de dégâts#Perçant|perçant]] à la place."/>
  </r>
  <r>
    <s v="Téléportation"/>
    <x v="1"/>
    <x v="2"/>
    <x v="2"/>
    <n v="4"/>
    <s v="action"/>
    <n v="0"/>
    <s v="Personnel"/>
    <s v="Mouvement"/>
    <x v="0"/>
    <s v="&gt;Se téléporte à un point visible à 9 cases max."/>
  </r>
  <r>
    <s v="Foudroiement"/>
    <x v="1"/>
    <x v="0"/>
    <x v="2"/>
    <n v="8"/>
    <s v="action"/>
    <n v="0"/>
    <s v="Personnel"/>
    <s v="Dégats"/>
    <x v="0"/>
    <s v="&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10d4! dégâts de foudre."/>
  </r>
  <r>
    <m/>
    <x v="1"/>
    <x v="3"/>
    <x v="2"/>
    <m/>
    <m/>
    <n v="0"/>
    <m/>
    <s v="Buff"/>
    <x v="1"/>
    <m/>
  </r>
  <r>
    <m/>
    <x v="1"/>
    <x v="3"/>
    <x v="2"/>
    <m/>
    <m/>
    <n v="0"/>
    <m/>
    <s v="Debuff"/>
    <x v="1"/>
    <m/>
  </r>
  <r>
    <m/>
    <x v="1"/>
    <x v="1"/>
    <x v="2"/>
    <n v="6"/>
    <s v="action"/>
    <n v="1"/>
    <s v="Personnel"/>
    <s v="Dégats"/>
    <x v="0"/>
    <s v="&gt;Génère un champ de foudre statique autour de vous pendant 1 minute. Toute personne qui cours à 2 cases de vous reçoit un choc électrique de 1d6[[2. Glossaire#Jet explosif|!]] dégâts de [[4. Les types de dégâts#Foudre|foudre]]."/>
  </r>
  <r>
    <s v="No name"/>
    <x v="1"/>
    <x v="1"/>
    <x v="3"/>
    <n v="5"/>
    <s v="action"/>
    <n v="1"/>
    <s v="6 cases"/>
    <s v="Support"/>
    <x v="0"/>
    <s v="&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
  </r>
  <r>
    <s v="No name"/>
    <x v="1"/>
    <x v="0"/>
    <x v="3"/>
    <n v="4"/>
    <s v="action"/>
    <n v="0"/>
    <s v="Personnel"/>
    <s v="Buff"/>
    <x v="0"/>
    <s v="&gt; Durant 1 minute, vos [[4. Équipement#Les armes naturelles|armes naturelles]] se recouvrent de roches, infligeant des dégâts supplémentaires égal à votre mod. d'intelligence. A chaque coup porté (réussi comme raté), les dégâts décroient d'un point jusqu'à arrivée à 0."/>
  </r>
  <r>
    <m/>
    <x v="1"/>
    <x v="3"/>
    <x v="3"/>
    <m/>
    <m/>
    <n v="0"/>
    <m/>
    <s v="Debuff"/>
    <x v="1"/>
    <m/>
  </r>
  <r>
    <m/>
    <x v="1"/>
    <x v="3"/>
    <x v="3"/>
    <m/>
    <m/>
    <n v="0"/>
    <m/>
    <s v="Support"/>
    <x v="1"/>
    <m/>
  </r>
  <r>
    <m/>
    <x v="1"/>
    <x v="3"/>
    <x v="3"/>
    <m/>
    <m/>
    <n v="0"/>
    <m/>
    <s v="Mouvement"/>
    <x v="1"/>
    <m/>
  </r>
  <r>
    <s v="No name"/>
    <x v="1"/>
    <x v="2"/>
    <x v="4"/>
    <n v="5"/>
    <s v="action"/>
    <n v="0"/>
    <s v="6 cases"/>
    <s v="Debuff"/>
    <x v="0"/>
    <s v="&gt; Votre cible doit faire un [[3. Résistance aux chocs#Le jet de résistance|jet de résistance]] (d4/3 + mod. d'[[1. Entrainement#L'intelligence|intelligence]]) à l'[[2. Liste des effets#Influencé|influence]]. En cas d'échec, elle perds 2d4[[2. Glossaire#Jet explosif|!]] mana."/>
  </r>
  <r>
    <s v="Télékinésie"/>
    <x v="1"/>
    <x v="1"/>
    <x v="4"/>
    <n v="3"/>
    <s v="action"/>
    <n v="1"/>
    <s v="6 cases"/>
    <s v="Utilitaire"/>
    <x v="0"/>
    <s v="&gt;Vous êtes capable de soulever des objets allant jusqu'à votre mod. d'[[1. Entrainement#L'intelligenc|intelligence]] en kilogrammes. Vous pouvez les déplacer de 2 cases par point d'action, jusqu'à une distance de 6 cases de vous. Vous n'avez cependant pas la délicatesse requise pour manier des armes."/>
  </r>
  <r>
    <s v="Enchantement dense"/>
    <x v="1"/>
    <x v="1"/>
    <x v="4"/>
    <n v="3"/>
    <s v="action"/>
    <n v="0"/>
    <s v="Personnel"/>
    <s v="Buff"/>
    <x v="0"/>
    <s v="&gt; Condense de l'énergie magique dans toutes les arme ou projectiles sur vous. Vous faites une attaque immédiatement après avoir lancé ce sort sans dépenser d'action, avec chaque arme infligeant 1d8 dégâts supplémentaire. Les dégâts de l'arme deviennent magique."/>
  </r>
  <r>
    <s v="Enchantement tenace"/>
    <x v="1"/>
    <x v="1"/>
    <x v="4"/>
    <n v="4"/>
    <s v="action"/>
    <n v="0"/>
    <s v="Personnel"/>
    <s v="Buff"/>
    <x v="0"/>
    <s v="&gt; Condense de l'énergie magique dans une arme sur vous *jusqu'à la fin de votre prochain tour*. Vous faites une attaque immédiatement après avoir lancé ce sort sans dépenser d'action, infligeant 1d8 dégâts supplémentaire. Les dégâts de l'arme deviennent magique."/>
  </r>
  <r>
    <m/>
    <x v="1"/>
    <x v="0"/>
    <x v="4"/>
    <m/>
    <m/>
    <n v="0"/>
    <m/>
    <s v="Support"/>
    <x v="1"/>
    <m/>
  </r>
  <r>
    <m/>
    <x v="1"/>
    <x v="0"/>
    <x v="4"/>
    <m/>
    <m/>
    <n v="0"/>
    <m/>
    <s v="Dégats"/>
    <x v="1"/>
    <m/>
  </r>
  <r>
    <s v="No name"/>
    <x v="1"/>
    <x v="1"/>
    <x v="4"/>
    <n v="5"/>
    <s v="action"/>
    <n v="1"/>
    <s v="3 cases"/>
    <s v="Support"/>
    <x v="0"/>
    <s v="&gt;Vous vous liez à un allié visible à 3 cases pendant 1 minute. Tant que vous vous concentrez sur le sort, vous et votre allié gagnez un bonus de +2 à la concentration et aux [[3. Résistance aux chocs#Le jet de résistance|jets de résistance]] d'[[1. Entrainement#L'intelligence|intelligence]] et de [[1. Entrainement#La psyché|psyché]], qu'importe la distance. Cependant, dès que l'un des deux subit des dégâts, les deux doivent **réussir** un [[1. Magie#La concentration|jet de concentration]] pour maintenir ce sort."/>
  </r>
  <r>
    <s v="No name"/>
    <x v="1"/>
    <x v="1"/>
    <x v="5"/>
    <n v="7"/>
    <s v="action"/>
    <n v="1"/>
    <s v="9 cases"/>
    <s v="Debuff"/>
    <x v="0"/>
    <s v="&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
  </r>
  <r>
    <s v="No name"/>
    <x v="1"/>
    <x v="0"/>
    <x v="5"/>
    <n v="4"/>
    <s v="action"/>
    <n v="0"/>
    <s v="3 cases"/>
    <s v="Buff"/>
    <x v="0"/>
    <s v="&gt; Vous bénissez temporairement un arc avec la magie des vents pour les 3 prochaines attaques. Les flèches tirée par cet arc ont une vélocité accrue, les portée sont doublée et vous avez un bonus de +2 pour toucher à moyenne distance."/>
  </r>
  <r>
    <s v="No name"/>
    <x v="1"/>
    <x v="0"/>
    <x v="5"/>
    <n v="5"/>
    <s v="action"/>
    <n v="0"/>
    <s v="18 cases"/>
    <s v="Mouvement"/>
    <x v="0"/>
    <s v="&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
  </r>
  <r>
    <s v="No name"/>
    <x v="1"/>
    <x v="2"/>
    <x v="5"/>
    <n v="4"/>
    <s v="reaction"/>
    <n v="0"/>
    <s v="Personnel"/>
    <s v="Tank"/>
    <x v="0"/>
    <s v="&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
  </r>
  <r>
    <m/>
    <x v="1"/>
    <x v="3"/>
    <x v="5"/>
    <m/>
    <m/>
    <n v="0"/>
    <m/>
    <s v="Dégats"/>
    <x v="1"/>
    <m/>
  </r>
  <r>
    <s v="No name"/>
    <x v="1"/>
    <x v="1"/>
    <x v="6"/>
    <n v="6"/>
    <s v="action"/>
    <n v="0"/>
    <s v="3 cases"/>
    <s v="Debuff"/>
    <x v="0"/>
    <s v="&gt;Votre cible doit faire un [[3. Résistance aux chocs#Le jet de résistance|jet de résistance]] (d8/5 + mod. d'[[1. Entrainement#L'intelligence|intelligence]]) aux [[1. Magie#Les sorts de savoir|sorts de savoir]]. En cas d'échec, elle subit un point de [[3. Fatigue et repos#Fatigue temporaire|fatigue temporaire]]."/>
  </r>
  <r>
    <s v="No name"/>
    <x v="1"/>
    <x v="2"/>
    <x v="6"/>
    <n v="5"/>
    <s v="reaction"/>
    <n v="0"/>
    <s v="Toucher"/>
    <s v="Support"/>
    <x v="0"/>
    <s v="&gt; Vous récupérez un point de [[3. Fatigue et repos#Fatigue persistante|fatigue persistante]] de votre cible."/>
  </r>
  <r>
    <m/>
    <x v="1"/>
    <x v="3"/>
    <x v="6"/>
    <m/>
    <m/>
    <n v="0"/>
    <m/>
    <s v="Utilitaire"/>
    <x v="1"/>
    <m/>
  </r>
  <r>
    <m/>
    <x v="1"/>
    <x v="3"/>
    <x v="6"/>
    <m/>
    <m/>
    <n v="0"/>
    <m/>
    <s v="Buff"/>
    <x v="1"/>
    <m/>
  </r>
  <r>
    <s v="No name"/>
    <x v="1"/>
    <x v="1"/>
    <x v="7"/>
    <n v="4"/>
    <s v="action"/>
    <n v="0"/>
    <s v="Personnel"/>
    <s v="Utilitaire"/>
    <x v="0"/>
    <s v="&gt; Vous gagnez pendant 1 minute une vision dans le noir à 12 cases."/>
  </r>
  <r>
    <m/>
    <x v="1"/>
    <x v="3"/>
    <x v="7"/>
    <m/>
    <m/>
    <n v="0"/>
    <m/>
    <s v="Dégats"/>
    <x v="0"/>
    <m/>
  </r>
  <r>
    <m/>
    <x v="1"/>
    <x v="3"/>
    <x v="7"/>
    <m/>
    <m/>
    <n v="0"/>
    <m/>
    <s v="Utilitaire"/>
    <x v="3"/>
    <m/>
  </r>
  <r>
    <m/>
    <x v="1"/>
    <x v="3"/>
    <x v="7"/>
    <m/>
    <m/>
    <n v="0"/>
    <m/>
    <s v="Buff"/>
    <x v="1"/>
    <m/>
  </r>
  <r>
    <s v="Apaisement"/>
    <x v="1"/>
    <x v="1"/>
    <x v="8"/>
    <n v="3"/>
    <s v="action"/>
    <n v="0"/>
    <s v="Personnel"/>
    <s v="Support"/>
    <x v="0"/>
    <s v="&gt;En touchant la cible, guérit l'influence, le charme et la peur, mais inflige un malus de -1 aux jets de résistance de défense pour ces effets durant 3 tours."/>
  </r>
  <r>
    <s v="Painshock"/>
    <x v="1"/>
    <x v="2"/>
    <x v="8"/>
    <n v="6"/>
    <s v="action"/>
    <n v="0"/>
    <s v="Toucher"/>
    <s v="Debuff"/>
    <x v="0"/>
    <s v="&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
  </r>
  <r>
    <s v="Perturbateur"/>
    <x v="1"/>
    <x v="2"/>
    <x v="8"/>
    <n v="4"/>
    <s v="reaction"/>
    <n v="0"/>
    <s v="Toucher"/>
    <s v="Debuff"/>
    <x v="0"/>
    <s v="&gt;Vous pouvez perturber les flux magiques d'un lanceur de sort que vous voyez à 9 cases pour lui imposer un malus de 3 à son lancer de sort en cours."/>
  </r>
  <r>
    <m/>
    <x v="1"/>
    <x v="3"/>
    <x v="8"/>
    <m/>
    <m/>
    <n v="0"/>
    <m/>
    <s v="Dégats"/>
    <x v="1"/>
    <m/>
  </r>
  <r>
    <m/>
    <x v="2"/>
    <x v="3"/>
    <x v="0"/>
    <m/>
    <m/>
    <n v="0"/>
    <m/>
    <s v="Buff"/>
    <x v="1"/>
    <m/>
  </r>
  <r>
    <m/>
    <x v="2"/>
    <x v="3"/>
    <x v="0"/>
    <m/>
    <m/>
    <n v="0"/>
    <m/>
    <s v="Dégats"/>
    <x v="1"/>
    <m/>
  </r>
  <r>
    <s v="Tourbillon de braise"/>
    <x v="2"/>
    <x v="1"/>
    <x v="0"/>
    <n v="6"/>
    <s v="action"/>
    <n v="0"/>
    <s v="9 cases"/>
    <s v="Dégats"/>
    <x v="0"/>
    <s v="&gt;Fait apparaitre une tornade de braises ardente de 2 cases de rayon. Chaque tour, vous pouvez la faire bouger de 2 cases pour 1 point d'action. Toute personne commençant son tour dans la tornade subit 2d8 dégâts de feu."/>
  </r>
  <r>
    <s v="Armure frigorifique"/>
    <x v="2"/>
    <x v="0"/>
    <x v="1"/>
    <n v="5"/>
    <s v="action"/>
    <n v="0"/>
    <s v="9 cases"/>
    <s v="Tank"/>
    <x v="0"/>
    <s v="&gt;Vous offrez une [[4. Les types de dégâts#Résistances et vulnérabilités|résistance]] au [[4. Les types de dégâts#Feu|feu]] ainsi qu'une armure de 20 PV (-5 PV) à votre cible. Votre cible voit sa vitesse de course réduite de 2 cases."/>
  </r>
  <r>
    <s v="Tempête de givre"/>
    <x v="2"/>
    <x v="1"/>
    <x v="1"/>
    <n v="6"/>
    <s v="action"/>
    <n v="1"/>
    <s v="6 cases"/>
    <s v="Debuff"/>
    <x v="0"/>
    <s v="&gt;Fait apparaitre une tempête de givre localisée de 6 cases de rayon. Chaque tour, vous pouvez la faire bouger de 2 cases pour 1 point d'action. Toute personne dans la tempête ne peut pas voir à l'extérieur, est [[2. Liste des effets#Sourd|assourdi]] par la bruit de la tempête et voit sa vitesse de course réduite de 2 cases."/>
  </r>
  <r>
    <s v="Engourdissement"/>
    <x v="2"/>
    <x v="2"/>
    <x v="1"/>
    <n v="5"/>
    <s v="action"/>
    <n v="0"/>
    <s v="6 cases"/>
    <s v="Debuff"/>
    <x v="0"/>
    <s v="&gt;La cible doit faire un [[3. Résistance aux chocs#Le jet de résistance|jet de résistance]] (d10/6 + mod. de [[1. Entrainement#La psyché|psyché]]) aux [[1. Magie#Les sorts instinctif|sorts d'instinct]], divisant sa vitesse par 2 et lui imposant un malus de 3 pour attaquer avec des armes en cas d'échec."/>
  </r>
  <r>
    <s v="No name"/>
    <x v="2"/>
    <x v="2"/>
    <x v="2"/>
    <n v="5"/>
    <s v="reaction"/>
    <n v="0"/>
    <s v="6 cases"/>
    <s v="Mouvement"/>
    <x v="0"/>
    <s v="&gt;Vous et votre cible permutez de place. Si votre cible n'est pas consentante, elle peut réussir un [[3. Résistance aux chocs#Le jet de résistance|jet de résistance]] (d10/6 + mod. de [[1. Entrainement#La psyché|psyché]]) de [[1. Entrainement#La psyché|psyché]] pour ne pas être permuter."/>
  </r>
  <r>
    <s v="Foudroiement energetique"/>
    <x v="2"/>
    <x v="1"/>
    <x v="2"/>
    <n v="7"/>
    <s v="action"/>
    <n v="1"/>
    <s v="Toucher"/>
    <s v="Buff"/>
    <x v="0"/>
    <s v="&gt;Durant 1 minute, la cible touchée gagne un point d'action. Cependant, elle subit 2d4[[2. Glossaire#Jet explosif|!]] dégâts de [[4. Les types de dégâts#Foudre|foudre]] en le dépensant."/>
  </r>
  <r>
    <s v="Orbe de chaos"/>
    <x v="2"/>
    <x v="0"/>
    <x v="2"/>
    <n v="9"/>
    <s v="action"/>
    <n v="0"/>
    <s v="12 cases"/>
    <s v="Dégats"/>
    <x v="0"/>
    <s v="&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
  </r>
  <r>
    <s v="No name"/>
    <x v="2"/>
    <x v="1"/>
    <x v="3"/>
    <n v="8"/>
    <s v="action"/>
    <n v="1"/>
    <s v="9 cases"/>
    <s v="Dégats"/>
    <x v="0"/>
    <s v="&gt;Vous désignez une zone de 3 cases de rayon. Tout les tours, vous pouvez utiliser un point d'action pour faire sortir un pilier de terre dans une case libre de la zone désignée. Faites un jet de [[1. Entrainement#La dextérité|dextérité]]. Le pilier inflige 1d12 dégâts [[4. Les types de dégâts#Contondant|contondant]] et déplace la cible d'une case s'il touche. Il occupe cette case durant 3 tours avant de se désintégrer."/>
  </r>
  <r>
    <m/>
    <x v="2"/>
    <x v="3"/>
    <x v="3"/>
    <m/>
    <m/>
    <n v="0"/>
    <m/>
    <s v="Support"/>
    <x v="1"/>
    <m/>
  </r>
  <r>
    <s v="No name"/>
    <x v="2"/>
    <x v="0"/>
    <x v="3"/>
    <n v="8"/>
    <s v="action"/>
    <n v="0"/>
    <s v="9 cases"/>
    <s v="Dégats"/>
    <x v="0"/>
    <s v="&gt;Vous érigez 6 piliers de roche tranchante dans une zone de 2 cases de rayon. Jusqu'à 4 peuvent être placé sur la même case. Vous faites un jet d'attaque de [[1. Entrainement#La dextérité|dextérité]] par **case**. Un pilier inflige 1d12 dégâts [[4. Les types de dégâts#Tranchant|tranchant]]."/>
  </r>
  <r>
    <s v="Protection suprême"/>
    <x v="2"/>
    <x v="1"/>
    <x v="3"/>
    <n v="6"/>
    <s v="action"/>
    <n v="0"/>
    <s v="Personnel"/>
    <s v="Tank"/>
    <x v="0"/>
    <s v="&gt;Vous vous entourez d'une imposante carapace de roche réactive qui absorbe les chocs. Vous gagnez une armure temporaire de 25PV (-5PV) pendant 2 tours. Subir un coup critique détruit l'armure mais annule l'effet critique."/>
  </r>
  <r>
    <m/>
    <x v="2"/>
    <x v="0"/>
    <x v="4"/>
    <m/>
    <s v="action"/>
    <n v="0"/>
    <m/>
    <s v="Utilitaire"/>
    <x v="1"/>
    <m/>
  </r>
  <r>
    <s v="Mutisme"/>
    <x v="2"/>
    <x v="1"/>
    <x v="4"/>
    <n v="7"/>
    <s v="action"/>
    <n v="1"/>
    <s v="6 cases"/>
    <s v="Support"/>
    <x v="0"/>
    <s v="&gt;Crée une zone de 4 cases de rayon dans laquelle aucun son ne peut être émis ou perçu, rendant ainsi toute personne dans la zone [[2. Liste des effets#Sourd|sourd]] et [[2. Liste des effets#Muet|muet]]. Dure 1 min. Les limites de la zone sont finement perceptible sous forme d'ondulation de chaleur."/>
  </r>
  <r>
    <s v="Magie volée"/>
    <x v="2"/>
    <x v="1"/>
    <x v="4"/>
    <n v="6"/>
    <s v="action"/>
    <n v="0"/>
    <s v="Personnel"/>
    <s v="Buff"/>
    <x v="0"/>
    <s v="&gt;Durant 3 tours, chaque fois que vous êtes explicitement cibler par un sort (hors effet de zone), vous gagnez un nombre de mana égal à la moitié du mana dépensé."/>
  </r>
  <r>
    <s v="Rejet pur"/>
    <x v="2"/>
    <x v="1"/>
    <x v="4"/>
    <m/>
    <s v="action"/>
    <n v="0"/>
    <s v="3 cases"/>
    <s v="Dégats"/>
    <x v="0"/>
    <s v="&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
  </r>
  <r>
    <s v="Disruption"/>
    <x v="2"/>
    <x v="2"/>
    <x v="4"/>
    <n v="5"/>
    <s v="action"/>
    <n v="0"/>
    <s v="6 cases"/>
    <s v="Debuff"/>
    <x v="0"/>
    <s v="&gt;Faites un jet d'attaque avec la [[1. Entrainement#La psyché|psyché]]. Vous imposez un jet de concentration à une cible que vous voyez. La difficulté est de 4d6+4."/>
  </r>
  <r>
    <m/>
    <x v="2"/>
    <x v="0"/>
    <x v="5"/>
    <m/>
    <m/>
    <n v="0"/>
    <m/>
    <s v="Mouvement"/>
    <x v="1"/>
    <m/>
  </r>
  <r>
    <s v="No name"/>
    <x v="2"/>
    <x v="2"/>
    <x v="5"/>
    <n v="3"/>
    <s v="reaction"/>
    <n v="0"/>
    <s v="3 cases"/>
    <s v="Support"/>
    <x v="0"/>
    <s v="&gt;Vous repoussez un projectile physique ou magique de rang 1 qui passe à 3 cases de vous vers l'attaquant d'origine."/>
  </r>
  <r>
    <m/>
    <x v="2"/>
    <x v="1"/>
    <x v="5"/>
    <m/>
    <m/>
    <n v="0"/>
    <m/>
    <s v="Buff"/>
    <x v="1"/>
    <m/>
  </r>
  <r>
    <s v="Epuisement répété"/>
    <x v="2"/>
    <x v="2"/>
    <x v="6"/>
    <n v="6"/>
    <s v="action"/>
    <n v="0"/>
    <s v="6 cases"/>
    <s v="Dégats"/>
    <x v="0"/>
    <s v="&gt;Faites un jet d'attaque avec la [[1. Entrainement#La psyché|psyché]]. Vous infligez 1d6 point de dégâts [[4. Les types de dégâts#Neutre|magique]] par [[3. Fatigue et repos#La fatigue|point de fatigue]] de la cible."/>
  </r>
  <r>
    <m/>
    <x v="2"/>
    <x v="3"/>
    <x v="6"/>
    <m/>
    <m/>
    <n v="0"/>
    <m/>
    <s v="Support"/>
    <x v="1"/>
    <m/>
  </r>
  <r>
    <m/>
    <x v="2"/>
    <x v="3"/>
    <x v="6"/>
    <m/>
    <m/>
    <n v="0"/>
    <m/>
    <s v="Debuff"/>
    <x v="1"/>
    <m/>
  </r>
  <r>
    <m/>
    <x v="2"/>
    <x v="2"/>
    <x v="7"/>
    <m/>
    <m/>
    <n v="0"/>
    <m/>
    <s v="Utilitaire"/>
    <x v="4"/>
    <m/>
  </r>
  <r>
    <m/>
    <x v="2"/>
    <x v="3"/>
    <x v="7"/>
    <m/>
    <m/>
    <n v="0"/>
    <m/>
    <s v="Utilitaire"/>
    <x v="1"/>
    <m/>
  </r>
  <r>
    <s v="Anomalie immaculée"/>
    <x v="2"/>
    <x v="1"/>
    <x v="7"/>
    <n v="6"/>
    <s v="action"/>
    <n v="0"/>
    <s v="3 cases"/>
    <s v="Dégats"/>
    <x v="0"/>
    <s v="&gt; Place une anomalie visuelle à 3 cases émettant une [[6. Visibilité et lumière#Lumière intense|lumière vive]] à 9 cases. Lorsqu'un être vivant rentre en contact avec l'anomalie, il absorbe toute l'énergie magique et subit 4d8 points de dégâts magique"/>
  </r>
  <r>
    <m/>
    <x v="2"/>
    <x v="3"/>
    <x v="8"/>
    <m/>
    <m/>
    <n v="0"/>
    <m/>
    <s v="Debuff"/>
    <x v="1"/>
    <m/>
  </r>
  <r>
    <m/>
    <x v="2"/>
    <x v="3"/>
    <x v="8"/>
    <m/>
    <m/>
    <n v="0"/>
    <m/>
    <s v="Dégats"/>
    <x v="1"/>
    <m/>
  </r>
  <r>
    <m/>
    <x v="2"/>
    <x v="3"/>
    <x v="8"/>
    <m/>
    <m/>
    <n v="0"/>
    <m/>
    <s v="Support"/>
    <x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8D08482-BBA4-4DA6-BBDA-39B9944FF317}" name="Tableau croisé dynamique3" cacheId="1" applyNumberFormats="0" applyBorderFormats="0" applyFontFormats="0" applyPatternFormats="0" applyAlignmentFormats="0" applyWidthHeightFormats="1" dataCaption="Valeurs" updatedVersion="8" minRefreshableVersion="3" showDrill="0" useAutoFormatting="1" rowGrandTotals="0" colGrandTotals="0" itemPrintTitles="1" mergeItem="1" createdVersion="8" indent="127" showHeaders="0" compact="0" compactData="0" multipleFieldFilters="0" chartFormat="1">
  <location ref="Q23:T27" firstHeaderRow="1" firstDataRow="2" firstDataCol="1" rowPageCount="1" colPageCount="1"/>
  <pivotFields count="11">
    <pivotField compact="0" outline="0" multipleItemSelectionAllowed="1" showAll="0"/>
    <pivotField axis="axisRow" dataField="1" compact="0" outline="0" showAll="0" defaultSubtotal="0">
      <items count="3">
        <item x="0"/>
        <item x="1"/>
        <item x="2"/>
      </items>
    </pivotField>
    <pivotField axis="axisCol" compact="0" outline="0" showAll="0" defaultSubtotal="0">
      <items count="4">
        <item x="2"/>
        <item x="0"/>
        <item x="1"/>
        <item h="1" x="3"/>
      </items>
    </pivotField>
    <pivotField compact="0" outline="0" showAll="0"/>
    <pivotField compact="0" outline="0" showAll="0"/>
    <pivotField compact="0" outline="0" showAll="0"/>
    <pivotField compact="0" outline="0" showAll="0"/>
    <pivotField compact="0" outline="0" showAll="0"/>
    <pivotField compact="0" outline="0" showAll="0"/>
    <pivotField axis="axisPage" compact="0" outline="0" multipleItemSelectionAllowed="1" showAll="0">
      <items count="8">
        <item m="1" x="6"/>
        <item h="1" x="1"/>
        <item x="0"/>
        <item h="1" x="2"/>
        <item h="1" x="3"/>
        <item h="1" m="1" x="5"/>
        <item h="1" x="4"/>
        <item t="default"/>
      </items>
    </pivotField>
    <pivotField compact="0" outline="0" showAll="0"/>
  </pivotFields>
  <rowFields count="1">
    <field x="1"/>
  </rowFields>
  <rowItems count="3">
    <i>
      <x/>
    </i>
    <i>
      <x v="1"/>
    </i>
    <i>
      <x v="2"/>
    </i>
  </rowItems>
  <colFields count="1">
    <field x="2"/>
  </colFields>
  <colItems count="3">
    <i>
      <x/>
    </i>
    <i>
      <x v="1"/>
    </i>
    <i>
      <x v="2"/>
    </i>
  </colItems>
  <pageFields count="1">
    <pageField fld="9" hier="-1"/>
  </pageFields>
  <dataFields count="1">
    <dataField name="Nombre" fld="1" subtotal="count" baseField="1" baseItem="0"/>
  </dataFields>
  <formats count="9">
    <format dxfId="48">
      <pivotArea type="all" dataOnly="0" outline="0" fieldPosition="0"/>
    </format>
    <format dxfId="47">
      <pivotArea outline="0" collapsedLevelsAreSubtotals="1" fieldPosition="0"/>
    </format>
    <format dxfId="46">
      <pivotArea type="origin" dataOnly="0" labelOnly="1" outline="0" fieldPosition="0"/>
    </format>
    <format dxfId="45">
      <pivotArea field="2" type="button" dataOnly="0" labelOnly="1" outline="0" axis="axisCol" fieldPosition="0"/>
    </format>
    <format dxfId="44">
      <pivotArea type="topRight" dataOnly="0" labelOnly="1" outline="0" fieldPosition="0"/>
    </format>
    <format dxfId="43">
      <pivotArea field="1" type="button" dataOnly="0" labelOnly="1" outline="0" axis="axisRow" fieldPosition="0"/>
    </format>
    <format dxfId="42">
      <pivotArea dataOnly="0" labelOnly="1" fieldPosition="0">
        <references count="1">
          <reference field="1" count="0"/>
        </references>
      </pivotArea>
    </format>
    <format dxfId="41">
      <pivotArea dataOnly="0" labelOnly="1" fieldPosition="0">
        <references count="1">
          <reference field="2" count="0"/>
        </references>
      </pivotArea>
    </format>
    <format dxfId="40">
      <pivotArea dataOnly="0" labelOnly="1" outline="0" fieldPosition="0">
        <references count="1">
          <reference field="2" count="0"/>
        </references>
      </pivotArea>
    </format>
  </formats>
  <chartFormats count="5">
    <chartFormat chart="0" format="0" series="1">
      <pivotArea type="data" outline="0" fieldPosition="0">
        <references count="1">
          <reference field="2" count="1" selected="0">
            <x v="0"/>
          </reference>
        </references>
      </pivotArea>
    </chartFormat>
    <chartFormat chart="0" format="1" series="1">
      <pivotArea type="data" outline="0" fieldPosition="0">
        <references count="1">
          <reference field="2" count="1" selected="0">
            <x v="1"/>
          </reference>
        </references>
      </pivotArea>
    </chartFormat>
    <chartFormat chart="0" format="2" series="1">
      <pivotArea type="data" outline="0" fieldPosition="0">
        <references count="1">
          <reference field="2" count="1" selected="0">
            <x v="2"/>
          </reference>
        </references>
      </pivotArea>
    </chartFormat>
    <chartFormat chart="0" format="3" series="1">
      <pivotArea type="data" outline="0" fieldPosition="0">
        <references count="2">
          <reference field="4294967294" count="1" selected="0">
            <x v="0"/>
          </reference>
          <reference field="2" count="1" selected="0">
            <x v="1"/>
          </reference>
        </references>
      </pivotArea>
    </chartFormat>
    <chartFormat chart="0" format="5"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3:J1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formats count="8">
    <format dxfId="56">
      <pivotArea type="all" dataOnly="0" outline="0" fieldPosition="0"/>
    </format>
    <format dxfId="55">
      <pivotArea outline="0" collapsedLevelsAreSubtotals="1" fieldPosition="0"/>
    </format>
    <format dxfId="54">
      <pivotArea type="origin" dataOnly="0" labelOnly="1" outline="0" fieldPosition="0"/>
    </format>
    <format dxfId="53">
      <pivotArea field="15" type="button" dataOnly="0" labelOnly="1" outline="0" axis="axisCol" fieldPosition="0"/>
    </format>
    <format dxfId="52">
      <pivotArea type="topRight" dataOnly="0" labelOnly="1" outline="0" fieldPosition="0"/>
    </format>
    <format dxfId="51">
      <pivotArea field="13" type="button" dataOnly="0" labelOnly="1" outline="0" axis="axisRow" fieldPosition="0"/>
    </format>
    <format dxfId="50">
      <pivotArea dataOnly="0" labelOnly="1" fieldPosition="0">
        <references count="1">
          <reference field="13" count="0"/>
        </references>
      </pivotArea>
    </format>
    <format dxfId="49">
      <pivotArea dataOnly="0" labelOnly="1" fieldPosition="0">
        <references count="1">
          <reference field="15"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G13:J21"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formats count="8">
    <format dxfId="64">
      <pivotArea type="all" dataOnly="0" outline="0" fieldPosition="0"/>
    </format>
    <format dxfId="63">
      <pivotArea outline="0" collapsedLevelsAreSubtotals="1" fieldPosition="0"/>
    </format>
    <format dxfId="62">
      <pivotArea type="origin" dataOnly="0" labelOnly="1" outline="0" fieldPosition="0"/>
    </format>
    <format dxfId="61">
      <pivotArea field="16" type="button" dataOnly="0" labelOnly="1" outline="0" axis="axisCol" fieldPosition="0"/>
    </format>
    <format dxfId="60">
      <pivotArea type="topRight" dataOnly="0" labelOnly="1" outline="0" fieldPosition="0"/>
    </format>
    <format dxfId="59">
      <pivotArea field="13" type="button" dataOnly="0" labelOnly="1" outline="0" axis="axisRow" fieldPosition="0"/>
    </format>
    <format dxfId="58">
      <pivotArea dataOnly="0" labelOnly="1" fieldPosition="0">
        <references count="1">
          <reference field="13" count="0"/>
        </references>
      </pivotArea>
    </format>
    <format dxfId="57">
      <pivotArea dataOnly="0" labelOnly="1" fieldPosition="0">
        <references count="1">
          <reference field="16" count="0"/>
        </references>
      </pivotArea>
    </format>
  </format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48BF6940-E523-4120-86BF-8B445518EE93}" name="Tableau croisé dynamique4" cacheId="1" applyNumberFormats="0" applyBorderFormats="0" applyFontFormats="0" applyPatternFormats="0" applyAlignmentFormats="0" applyWidthHeightFormats="1" dataCaption="Valeurs" updatedVersion="8" minRefreshableVersion="3" showDrill="0" useAutoFormatting="1" rowGrandTotals="0" itemPrintTitles="1" createdVersion="8" indent="0" showHeaders="0" outline="1" outlineData="1" multipleFieldFilters="0" chartFormat="1">
  <location ref="V4:Z34" firstHeaderRow="1" firstDataRow="2" firstDataCol="1" rowPageCount="1" colPageCount="1"/>
  <pivotFields count="11">
    <pivotField multipleItemSelectionAllowed="1" showAll="0"/>
    <pivotField axis="axisRow" dataField="1" showAll="0">
      <items count="4">
        <item x="0"/>
        <item x="1"/>
        <item x="2"/>
        <item t="default"/>
      </items>
    </pivotField>
    <pivotField axis="axisCol" showAll="0">
      <items count="5">
        <item x="2"/>
        <item x="0"/>
        <item x="1"/>
        <item h="1" x="3"/>
        <item t="default"/>
      </items>
    </pivotField>
    <pivotField axis="axisRow" showAll="0">
      <items count="10">
        <item x="5"/>
        <item x="4"/>
        <item x="0"/>
        <item x="2"/>
        <item x="1"/>
        <item x="7"/>
        <item x="6"/>
        <item x="8"/>
        <item x="3"/>
        <item t="default"/>
      </items>
    </pivotField>
    <pivotField showAll="0"/>
    <pivotField showAll="0"/>
    <pivotField showAll="0"/>
    <pivotField showAll="0"/>
    <pivotField showAll="0"/>
    <pivotField axis="axisPage" multipleItemSelectionAllowed="1" showAll="0">
      <items count="8">
        <item m="1" x="6"/>
        <item h="1" x="1"/>
        <item x="0"/>
        <item h="1" x="2"/>
        <item h="1" x="3"/>
        <item h="1" m="1" x="5"/>
        <item h="1" x="4"/>
        <item t="default"/>
      </items>
    </pivotField>
    <pivotField showAll="0"/>
  </pivotFields>
  <rowFields count="2">
    <field x="1"/>
    <field x="3"/>
  </rowFields>
  <rowItems count="29">
    <i>
      <x/>
    </i>
    <i r="1">
      <x/>
    </i>
    <i r="1">
      <x v="1"/>
    </i>
    <i r="1">
      <x v="2"/>
    </i>
    <i r="1">
      <x v="3"/>
    </i>
    <i r="1">
      <x v="4"/>
    </i>
    <i r="1">
      <x v="5"/>
    </i>
    <i r="1">
      <x v="6"/>
    </i>
    <i r="1">
      <x v="7"/>
    </i>
    <i r="1">
      <x v="8"/>
    </i>
    <i>
      <x v="1"/>
    </i>
    <i r="1">
      <x/>
    </i>
    <i r="1">
      <x v="1"/>
    </i>
    <i r="1">
      <x v="2"/>
    </i>
    <i r="1">
      <x v="3"/>
    </i>
    <i r="1">
      <x v="4"/>
    </i>
    <i r="1">
      <x v="5"/>
    </i>
    <i r="1">
      <x v="6"/>
    </i>
    <i r="1">
      <x v="7"/>
    </i>
    <i r="1">
      <x v="8"/>
    </i>
    <i>
      <x v="2"/>
    </i>
    <i r="1">
      <x/>
    </i>
    <i r="1">
      <x v="1"/>
    </i>
    <i r="1">
      <x v="2"/>
    </i>
    <i r="1">
      <x v="3"/>
    </i>
    <i r="1">
      <x v="4"/>
    </i>
    <i r="1">
      <x v="5"/>
    </i>
    <i r="1">
      <x v="6"/>
    </i>
    <i r="1">
      <x v="8"/>
    </i>
  </rowItems>
  <colFields count="1">
    <field x="2"/>
  </colFields>
  <colItems count="4">
    <i>
      <x/>
    </i>
    <i>
      <x v="1"/>
    </i>
    <i>
      <x v="2"/>
    </i>
    <i t="grand">
      <x/>
    </i>
  </colItems>
  <pageFields count="1">
    <pageField fld="9" hier="-1"/>
  </pageFields>
  <dataFields count="1">
    <dataField name="Nombre de Rang" fld="1" subtotal="count" baseField="1" baseItem="1"/>
  </dataFields>
  <formats count="17">
    <format dxfId="81">
      <pivotArea type="all" dataOnly="0" outline="0" fieldPosition="0"/>
    </format>
    <format dxfId="80">
      <pivotArea outline="0" collapsedLevelsAreSubtotals="1" fieldPosition="0"/>
    </format>
    <format dxfId="79">
      <pivotArea type="origin" dataOnly="0" labelOnly="1" outline="0" fieldPosition="0"/>
    </format>
    <format dxfId="78">
      <pivotArea type="topRight" dataOnly="0" labelOnly="1" outline="0" fieldPosition="0"/>
    </format>
    <format dxfId="77">
      <pivotArea dataOnly="0" labelOnly="1" fieldPosition="0">
        <references count="1">
          <reference field="1" count="0"/>
        </references>
      </pivotArea>
    </format>
    <format dxfId="76">
      <pivotArea dataOnly="0" labelOnly="1" fieldPosition="0">
        <references count="2">
          <reference field="1" count="1" selected="0">
            <x v="0"/>
          </reference>
          <reference field="3" count="0"/>
        </references>
      </pivotArea>
    </format>
    <format dxfId="75">
      <pivotArea dataOnly="0" labelOnly="1" fieldPosition="0">
        <references count="2">
          <reference field="1" count="1" selected="0">
            <x v="1"/>
          </reference>
          <reference field="3" count="0"/>
        </references>
      </pivotArea>
    </format>
    <format dxfId="74">
      <pivotArea dataOnly="0" labelOnly="1" fieldPosition="0">
        <references count="2">
          <reference field="1" count="1" selected="0">
            <x v="2"/>
          </reference>
          <reference field="3" count="6">
            <x v="1"/>
            <x v="2"/>
            <x v="3"/>
            <x v="4"/>
            <x v="5"/>
            <x v="8"/>
          </reference>
        </references>
      </pivotArea>
    </format>
    <format dxfId="73">
      <pivotArea type="origin" dataOnly="0" labelOnly="1" outline="0" fieldPosition="0"/>
    </format>
    <format dxfId="72">
      <pivotArea dataOnly="0" labelOnly="1" fieldPosition="0">
        <references count="1">
          <reference field="2" count="0"/>
        </references>
      </pivotArea>
    </format>
    <format dxfId="71">
      <pivotArea dataOnly="0" labelOnly="1" grandCol="1" outline="0" fieldPosition="0"/>
    </format>
    <format dxfId="70">
      <pivotArea dataOnly="0" labelOnly="1" fieldPosition="0">
        <references count="1">
          <reference field="1" count="0"/>
        </references>
      </pivotArea>
    </format>
    <format dxfId="69">
      <pivotArea dataOnly="0" labelOnly="1" fieldPosition="0">
        <references count="2">
          <reference field="1" count="1" selected="0">
            <x v="0"/>
          </reference>
          <reference field="3" count="0"/>
        </references>
      </pivotArea>
    </format>
    <format dxfId="68">
      <pivotArea dataOnly="0" labelOnly="1" fieldPosition="0">
        <references count="2">
          <reference field="1" count="1" selected="0">
            <x v="1"/>
          </reference>
          <reference field="3" count="0"/>
        </references>
      </pivotArea>
    </format>
    <format dxfId="67">
      <pivotArea dataOnly="0" labelOnly="1" fieldPosition="0">
        <references count="2">
          <reference field="1" count="1" selected="0">
            <x v="2"/>
          </reference>
          <reference field="3" count="6">
            <x v="1"/>
            <x v="2"/>
            <x v="3"/>
            <x v="4"/>
            <x v="5"/>
            <x v="8"/>
          </reference>
        </references>
      </pivotArea>
    </format>
    <format dxfId="66">
      <pivotArea dataOnly="0" labelOnly="1" fieldPosition="0">
        <references count="1">
          <reference field="2" count="0"/>
        </references>
      </pivotArea>
    </format>
    <format dxfId="65">
      <pivotArea dataOnly="0" labelOnly="1" grandCol="1" outline="0" fieldPosition="0"/>
    </format>
  </formats>
  <chartFormats count="6">
    <chartFormat chart="0" format="3" series="1">
      <pivotArea type="data" outline="0" fieldPosition="0">
        <references count="1">
          <reference field="2" count="1" selected="0">
            <x v="0"/>
          </reference>
        </references>
      </pivotArea>
    </chartFormat>
    <chartFormat chart="0" format="4" series="1">
      <pivotArea type="data" outline="0" fieldPosition="0">
        <references count="1">
          <reference field="2" count="1" selected="0">
            <x v="1"/>
          </reference>
        </references>
      </pivotArea>
    </chartFormat>
    <chartFormat chart="0" format="5" series="1">
      <pivotArea type="data" outline="0" fieldPosition="0">
        <references count="1">
          <reference field="2" count="1" selected="0">
            <x v="2"/>
          </reference>
        </references>
      </pivotArea>
    </chartFormat>
    <chartFormat chart="0" format="6" series="1">
      <pivotArea type="data" outline="0" fieldPosition="0">
        <references count="2">
          <reference field="4294967294" count="1" selected="0">
            <x v="0"/>
          </reference>
          <reference field="2" count="1" selected="0">
            <x v="0"/>
          </reference>
        </references>
      </pivotArea>
    </chartFormat>
    <chartFormat chart="0" format="7" series="1">
      <pivotArea type="data" outline="0" fieldPosition="0">
        <references count="2">
          <reference field="4294967294" count="1" selected="0">
            <x v="0"/>
          </reference>
          <reference field="2" count="1" selected="0">
            <x v="1"/>
          </reference>
        </references>
      </pivotArea>
    </chartFormat>
    <chartFormat chart="0" format="8" series="1">
      <pivotArea type="data" outline="0" fieldPosition="0">
        <references count="2">
          <reference field="4294967294" count="1" selected="0">
            <x v="0"/>
          </reference>
          <reference field="2" count="1" selected="0">
            <x v="2"/>
          </reference>
        </references>
      </pivotArea>
    </chartFormat>
  </chartFormats>
  <pivotTableStyleInfo name="PivotStyleMedium1" showRowHeaders="1" showColHeaders="1" showRowStripes="0" showColStripes="1"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Aspects" displayName="Aspects" ref="A1:W37" totalsRowShown="0">
  <autoFilter ref="A1:W37" xr:uid="{A8A04A0B-99E5-47DA-B000-A1B3A2D4D345}"/>
  <tableColumns count="23">
    <tableColumn id="1" xr3:uid="{10AA4F7D-76DE-41B1-9659-A5044CC3E4A8}" name="Aspect" dataDxfId="39"/>
    <tableColumn id="2" xr3:uid="{A898C7BE-0FDD-402E-8922-35117279222B}" name="Physique" dataDxfId="38"/>
    <tableColumn id="9" xr3:uid="{4FA83F93-4573-46A4-A19C-C295E9738AAD}" name="Phy min" dataDxfId="37"/>
    <tableColumn id="10" xr3:uid="{07F11B45-75A0-4510-8871-7C335ECB6F0B}" name="Phy max" dataDxfId="36"/>
    <tableColumn id="3" xr3:uid="{ECF1AC7E-5D81-4093-B97F-5FBA02904983}" name="Mental" dataDxfId="35"/>
    <tableColumn id="11" xr3:uid="{06B7B755-4C10-4F66-8420-171C42244C9F}" name="Men min" dataDxfId="34"/>
    <tableColumn id="12" xr3:uid="{56B7A928-DE0B-4793-AB8D-3D4BBC8386A7}" name="Men max" dataDxfId="33"/>
    <tableColumn id="4" xr3:uid="{EF26AB02-1B3F-4F8C-8E02-B3283BCEA532}" name="Charactère" dataDxfId="32"/>
    <tableColumn id="13" xr3:uid="{2C1AE653-EA96-4993-9C14-572C1613BF63}" name="Cha min" dataDxfId="31"/>
    <tableColumn id="14" xr3:uid="{8B692861-3522-43B8-B94A-1BE0E42BF8E6}" name="Cha max" dataDxfId="30"/>
    <tableColumn id="15" xr3:uid="{89823BD5-E43B-4180-864D-11077269E43E}" name="Min stats" dataDxfId="29">
      <calculatedColumnFormula>Aspects[[#This Row],[Phy min]]+Aspects[[#This Row],[Men min]]+Aspects[[#This Row],[Cha min]]</calculatedColumnFormula>
    </tableColumn>
    <tableColumn id="18" xr3:uid="{B62942C4-D64A-480D-A6F6-64144A046503}" name="Max stats" dataDxfId="28">
      <calculatedColumnFormula>Aspects[[#This Row],[Phy max]]+Aspects[[#This Row],[Men max]]+Aspects[[#This Row],[Cha max]]</calculatedColumnFormula>
    </tableColumn>
    <tableColumn id="19" xr3:uid="{F9A74C34-ACD5-4533-A2C1-D1E128D13E9B}" name="Range stats" dataDxfId="27">
      <calculatedColumnFormula>MAX(Aspects[[#This Row],[Max stats]]-Aspects[[#This Row],[Min stats]],0)</calculatedColumnFormula>
    </tableColumn>
    <tableColumn id="16" xr3:uid="{643E4DFB-48C1-4622-906D-01CBC394F5EC}" name="Difficulté" dataDxfId="26">
      <calculatedColumnFormula>ROUNDUP(AVERAGE(Aspects[[#This Row],[Phy min]:[Phy max]])*WPHYSIC+AVERAGE(Aspects[[#This Row],[Men min]:[Men max]])*WMENTAL+AVERAGE(Aspects[[#This Row],[Cha min]:[Cha max]])*WCHARAC,0)</calculatedColumnFormula>
    </tableColumn>
    <tableColumn id="17" xr3:uid="{80B84368-B714-432D-BEE5-BA817EC9B9D3}" name="Stat améliorée" dataDxfId="25"/>
    <tableColumn id="5" xr3:uid="{E635B0CD-5AA8-4957-9B73-A5F50895628E}" name="Alignement" dataDxfId="24"/>
    <tableColumn id="6" xr3:uid="{D99196F6-6064-42E9-9F14-08286C5F2CBF}" name="Bonté" dataDxfId="23">
      <calculatedColumnFormula>IFERROR(VLOOKUP(Aspects[[#This Row],[Alignement]],Alignement[],2,FALSE),"")</calculatedColumnFormula>
    </tableColumn>
    <tableColumn id="7" xr3:uid="{A6CC1D48-401A-4CA9-83BC-5484361F3C75}" name="Loyauté" dataDxfId="22">
      <calculatedColumnFormula>IFERROR(VLOOKUP(Aspects[[#This Row],[Alignement]],Alignement[],3,FALSE),"")</calculatedColumnFormula>
    </tableColumn>
    <tableColumn id="8" xr3:uid="{A8B45E07-B4D8-4E13-9202-FDC79F47976E}" name="Magie" dataDxfId="21">
      <calculatedColumnFormula>IF(Aspects[[#This Row],[Men min]]&lt;8,0,1)</calculatedColumnFormula>
    </tableColumn>
    <tableColumn id="22" xr3:uid="{4632161D-13FF-47A8-90DF-3FE97EE6945D}" name="Min" dataDxfId="20">
      <calculatedColumnFormula>IF(OR(AND(Aspects[[#This Row],[Min stats]]&lt;=35,Aspects[[#This Row],[Loyauté]]&lt;&gt;"Loyal"),AND(Aspects[[#This Row],[Min stats]]&lt;=25,Aspects[[#This Row],[Loyauté]]="Loyal")),1,0)</calculatedColumnFormula>
    </tableColumn>
    <tableColumn id="23" xr3:uid="{4D712596-335A-4F29-BEF3-2221C8A7A116}" name="Max" dataDxfId="19">
      <calculatedColumnFormula>IF(Aspects[[#This Row],[Max stats]]&gt;=43,1,0)</calculatedColumnFormula>
    </tableColumn>
    <tableColumn id="21" xr3:uid="{93200CD2-1E11-4826-BAC0-0638EE02B6DE}" name="Range" dataDxfId="18">
      <calculatedColumnFormula>IF(OR(AND(Aspects[[#This Row],[Range stats]]&gt;=15,Aspects[[#This Row],[Range stats]]&lt;=27,Aspects[[#This Row],[Loyauté]]&lt;&gt;"Loyal"),AND(Aspects[[#This Row],[Range stats]]&gt;=27,Aspects[[#This Row],[Range stats]]&lt;=40,Aspects[[#This Row],[Loyauté]]="Loyal")),1,0)</calculatedColumnFormula>
    </tableColumn>
    <tableColumn id="20" xr3:uid="{2FD35BF0-9F45-439F-B8B3-6015C4C8CD4D}" name="Commentaire" dataDxfId="17"/>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Sorts" displayName="Sorts" ref="A1:K125" totalsRowShown="0">
  <autoFilter ref="A1:K125" xr:uid="{238FAE0E-3C8A-48F7-A7E1-FC2E477A7D3C}"/>
  <sortState xmlns:xlrd2="http://schemas.microsoft.com/office/spreadsheetml/2017/richdata2" ref="A2:K125">
    <sortCondition ref="B2:B125"/>
    <sortCondition ref="D2:D125" customList="Feu,Glace,Foudre,Terre,Arcane,Air,Nature,Lumière,Psy"/>
  </sortState>
  <tableColumns count="11">
    <tableColumn id="1" xr3:uid="{A2AB743F-9073-4A57-9EDA-5E0E415BD54F}" name="Sort"/>
    <tableColumn id="2" xr3:uid="{BA70F8CE-2D33-4A86-A98E-EBA3598A81C2}" name="Rang" dataDxfId="16"/>
    <tableColumn id="3" xr3:uid="{3579E514-6C5C-4F90-B910-48D47EA58876}" name="Type"/>
    <tableColumn id="4" xr3:uid="{AA9D852E-6073-4283-B04F-301D3A15EB76}" name="Element"/>
    <tableColumn id="5" xr3:uid="{B3C7CCA8-728B-479A-BA99-7E199D13407C}" name="Coût" dataDxfId="15"/>
    <tableColumn id="6" xr3:uid="{D7AF6421-4267-4A3B-AAF6-4E44AA0942F5}" name="Incantation" dataDxfId="14"/>
    <tableColumn id="8" xr3:uid="{4C25CF09-2441-41F5-9404-D55F9B6896D2}" name="Concentration" dataDxfId="13"/>
    <tableColumn id="11" xr3:uid="{DCEE26D2-9066-498C-80CA-5F86E102C71A}" name="Distance" dataDxfId="12"/>
    <tableColumn id="9" xr3:uid="{A4EA893E-3AEE-43AB-818E-E2A8638CC5E0}" name="Categorie" dataDxfId="11"/>
    <tableColumn id="7" xr3:uid="{B712D949-FEF4-4A69-A7FE-B58DE93D47BB}" name="Commentaire" dataDxfId="10"/>
    <tableColumn id="10" xr3:uid="{C6861AF9-B2E3-461A-B83C-4A6BA31725E2}" name="Description" dataDxfId="9"/>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openxmlformats.org/officeDocument/2006/relationships/pivotTable" Target="../pivotTables/pivotTable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AB42"/>
  <sheetViews>
    <sheetView showGridLines="0" workbookViewId="0">
      <selection activeCell="AD16" sqref="AD16"/>
    </sheetView>
  </sheetViews>
  <sheetFormatPr baseColWidth="10" defaultRowHeight="15" x14ac:dyDescent="0.25"/>
  <cols>
    <col min="1" max="2" width="2.85546875" customWidth="1"/>
    <col min="3" max="3" width="11.42578125" customWidth="1"/>
    <col min="4" max="4" width="5.140625" customWidth="1"/>
    <col min="5" max="5" width="10.7109375" customWidth="1"/>
    <col min="6" max="6" width="2.85546875" customWidth="1"/>
    <col min="7" max="7" width="12.42578125" bestFit="1" customWidth="1"/>
    <col min="8" max="8" width="8.28515625" bestFit="1" customWidth="1"/>
    <col min="9" max="9" width="7.28515625" bestFit="1" customWidth="1"/>
    <col min="10" max="10" width="12.5703125" bestFit="1" customWidth="1"/>
    <col min="11" max="11" width="2.85546875" customWidth="1"/>
    <col min="12" max="12" width="20.140625" bestFit="1" customWidth="1"/>
    <col min="13" max="13" width="5" bestFit="1" customWidth="1"/>
    <col min="14" max="16" width="2.85546875" customWidth="1"/>
    <col min="17" max="17" width="13.140625" bestFit="1" customWidth="1"/>
    <col min="18" max="18" width="8.5703125" bestFit="1" customWidth="1"/>
    <col min="19" max="19" width="9.140625" bestFit="1" customWidth="1"/>
    <col min="20" max="20" width="6.42578125" bestFit="1" customWidth="1"/>
    <col min="21" max="21" width="2.85546875" customWidth="1"/>
    <col min="22" max="22" width="15.7109375" bestFit="1" customWidth="1"/>
    <col min="23" max="23" width="8.5703125" bestFit="1" customWidth="1"/>
    <col min="24" max="24" width="9.140625" bestFit="1" customWidth="1"/>
    <col min="25" max="25" width="6.42578125" bestFit="1" customWidth="1"/>
    <col min="26" max="26" width="12.5703125" bestFit="1" customWidth="1"/>
    <col min="27" max="28" width="2.85546875" customWidth="1"/>
    <col min="29" max="29" width="13.140625" bestFit="1" customWidth="1"/>
    <col min="30" max="30" width="15.140625" bestFit="1" customWidth="1"/>
    <col min="31" max="31" width="18.140625" bestFit="1" customWidth="1"/>
    <col min="32" max="32" width="19" bestFit="1" customWidth="1"/>
    <col min="33" max="33" width="21" bestFit="1" customWidth="1"/>
    <col min="34" max="34" width="24" bestFit="1" customWidth="1"/>
    <col min="35" max="35" width="19" bestFit="1" customWidth="1"/>
    <col min="36" max="36" width="21" bestFit="1" customWidth="1"/>
    <col min="37" max="37" width="24" bestFit="1" customWidth="1"/>
    <col min="38" max="38" width="18.140625" bestFit="1" customWidth="1"/>
    <col min="39" max="39" width="20.140625" bestFit="1" customWidth="1"/>
    <col min="40" max="40" width="23.140625" bestFit="1" customWidth="1"/>
  </cols>
  <sheetData>
    <row r="2" spans="2:28" ht="15.75" thickBot="1" x14ac:dyDescent="0.3">
      <c r="B2" s="19"/>
      <c r="C2" s="20"/>
      <c r="D2" s="20"/>
      <c r="E2" s="20"/>
      <c r="F2" s="20"/>
      <c r="G2" s="20"/>
      <c r="H2" s="20"/>
      <c r="I2" s="20"/>
      <c r="J2" s="20"/>
      <c r="K2" s="20"/>
      <c r="L2" s="20"/>
      <c r="M2" s="20"/>
      <c r="N2" s="21"/>
      <c r="P2" s="19"/>
      <c r="Q2" s="20"/>
      <c r="R2" s="20"/>
      <c r="S2" s="20"/>
      <c r="T2" s="20"/>
      <c r="U2" s="20"/>
      <c r="V2" s="53" t="s">
        <v>74</v>
      </c>
      <c r="W2" s="42" t="s">
        <v>242</v>
      </c>
      <c r="X2" s="20"/>
      <c r="Y2" s="20"/>
      <c r="Z2" s="20"/>
      <c r="AA2" s="20"/>
      <c r="AB2" s="22"/>
    </row>
    <row r="3" spans="2:28" x14ac:dyDescent="0.25">
      <c r="B3" s="22"/>
      <c r="C3" s="5" t="s">
        <v>15</v>
      </c>
      <c r="D3" s="28">
        <f>COUNTIF(Aspects[Bonté],"Bon")</f>
        <v>6</v>
      </c>
      <c r="E3" s="33">
        <f>D3/SUM($D$3:$D$5)</f>
        <v>0.16666666666666666</v>
      </c>
      <c r="G3" s="6" t="s">
        <v>69</v>
      </c>
      <c r="H3" s="6" t="s">
        <v>70</v>
      </c>
      <c r="N3" s="23"/>
      <c r="P3" s="22"/>
      <c r="Q3" s="5" t="s">
        <v>198</v>
      </c>
      <c r="R3" s="28">
        <f>COUNTIF(Sorts[Rang],"1")</f>
        <v>50</v>
      </c>
      <c r="S3" s="33">
        <f>R3/SUM(R3:R5)</f>
        <v>0.40322580645161288</v>
      </c>
      <c r="AB3" s="22"/>
    </row>
    <row r="4" spans="2:28" x14ac:dyDescent="0.25">
      <c r="B4" s="22"/>
      <c r="C4" s="3" t="s">
        <v>5</v>
      </c>
      <c r="D4" s="27">
        <f>COUNTIF(Aspects[Bonté],"Neutre")</f>
        <v>15</v>
      </c>
      <c r="E4" s="34">
        <f>D4/SUM($D$3:$D$5)</f>
        <v>0.41666666666666669</v>
      </c>
      <c r="G4" s="6" t="s">
        <v>70</v>
      </c>
      <c r="H4" t="s">
        <v>15</v>
      </c>
      <c r="I4" t="s">
        <v>14</v>
      </c>
      <c r="J4" t="s">
        <v>5</v>
      </c>
      <c r="L4" t="s">
        <v>81</v>
      </c>
      <c r="M4" s="17">
        <v>0.15</v>
      </c>
      <c r="N4" s="23"/>
      <c r="P4" s="22"/>
      <c r="Q4" s="3" t="s">
        <v>199</v>
      </c>
      <c r="R4" s="27">
        <f>COUNTIF(Sorts[Rang],"2")</f>
        <v>44</v>
      </c>
      <c r="S4" s="34">
        <f>R4/SUM(R3:R5)</f>
        <v>0.35483870967741937</v>
      </c>
      <c r="V4" s="39" t="s">
        <v>203</v>
      </c>
      <c r="W4" s="20"/>
      <c r="X4" s="40"/>
      <c r="Y4" s="41"/>
      <c r="Z4" s="42"/>
      <c r="AB4" s="22"/>
    </row>
    <row r="5" spans="2:28" ht="15.75" thickBot="1" x14ac:dyDescent="0.3">
      <c r="B5" s="22"/>
      <c r="C5" s="4" t="s">
        <v>14</v>
      </c>
      <c r="D5" s="29">
        <f>COUNTIF(Aspects[Bonté],"Mauvais")</f>
        <v>15</v>
      </c>
      <c r="E5" s="35">
        <f>D5/SUM($D$3:$D$5)</f>
        <v>0.41666666666666669</v>
      </c>
      <c r="G5" s="7" t="s">
        <v>41</v>
      </c>
      <c r="H5">
        <v>1</v>
      </c>
      <c r="I5">
        <v>1</v>
      </c>
      <c r="J5">
        <v>2</v>
      </c>
      <c r="N5" s="23"/>
      <c r="P5" s="22"/>
      <c r="Q5" s="4" t="s">
        <v>200</v>
      </c>
      <c r="R5" s="29">
        <f>COUNTIF(Sorts[Rang],"3")</f>
        <v>30</v>
      </c>
      <c r="S5" s="35">
        <f>R5/SUM(R3:R5)</f>
        <v>0.24193548387096775</v>
      </c>
      <c r="V5" s="22"/>
      <c r="W5" s="45" t="s">
        <v>128</v>
      </c>
      <c r="X5" s="56" t="s">
        <v>112</v>
      </c>
      <c r="Y5" s="46" t="s">
        <v>119</v>
      </c>
      <c r="Z5" s="57" t="s">
        <v>202</v>
      </c>
      <c r="AB5" s="22"/>
    </row>
    <row r="6" spans="2:28" ht="15.75" thickBot="1" x14ac:dyDescent="0.3">
      <c r="B6" s="22"/>
      <c r="G6" s="7" t="s">
        <v>38</v>
      </c>
      <c r="H6">
        <v>1</v>
      </c>
      <c r="I6">
        <v>1</v>
      </c>
      <c r="J6">
        <v>3</v>
      </c>
      <c r="L6" t="s">
        <v>82</v>
      </c>
      <c r="M6" s="17">
        <v>0.2</v>
      </c>
      <c r="N6" s="23"/>
      <c r="P6" s="22"/>
      <c r="V6" s="54">
        <v>1</v>
      </c>
      <c r="W6" s="19">
        <v>7</v>
      </c>
      <c r="X6" s="20">
        <v>10</v>
      </c>
      <c r="Y6" s="20">
        <v>16</v>
      </c>
      <c r="Z6" s="21">
        <v>33</v>
      </c>
      <c r="AB6" s="22"/>
    </row>
    <row r="7" spans="2:28" ht="15.75" thickBot="1" x14ac:dyDescent="0.3">
      <c r="B7" s="22"/>
      <c r="G7" s="7" t="s">
        <v>42</v>
      </c>
      <c r="H7">
        <v>1</v>
      </c>
      <c r="I7">
        <v>1</v>
      </c>
      <c r="J7">
        <v>3</v>
      </c>
      <c r="N7" s="23"/>
      <c r="P7" s="22"/>
      <c r="Q7" s="5" t="s">
        <v>201</v>
      </c>
      <c r="R7" s="28">
        <f>COUNTIF(Sorts[Type],"Precision")</f>
        <v>27</v>
      </c>
      <c r="S7" s="33">
        <f>R7/SUM(R7:R9)</f>
        <v>0.27</v>
      </c>
      <c r="V7" s="55" t="s">
        <v>134</v>
      </c>
      <c r="W7" s="22"/>
      <c r="X7">
        <v>2</v>
      </c>
      <c r="Y7">
        <v>2</v>
      </c>
      <c r="Z7" s="23">
        <v>4</v>
      </c>
      <c r="AB7" s="22"/>
    </row>
    <row r="8" spans="2:28" x14ac:dyDescent="0.25">
      <c r="B8" s="22"/>
      <c r="C8" s="5" t="s">
        <v>12</v>
      </c>
      <c r="D8" s="28">
        <f>COUNTIF(Aspects[Loyauté],"Loyal")</f>
        <v>9</v>
      </c>
      <c r="E8" s="33">
        <f>D8/SUM($D$8:$D$10)</f>
        <v>0.25</v>
      </c>
      <c r="G8" s="7" t="s">
        <v>37</v>
      </c>
      <c r="H8">
        <v>1</v>
      </c>
      <c r="I8">
        <v>3</v>
      </c>
      <c r="J8">
        <v>1</v>
      </c>
      <c r="L8" t="s">
        <v>83</v>
      </c>
      <c r="M8" s="17">
        <v>0.3</v>
      </c>
      <c r="N8" s="23"/>
      <c r="P8" s="22"/>
      <c r="Q8" s="3" t="s">
        <v>119</v>
      </c>
      <c r="R8" s="27">
        <f>COUNTIF(Sorts[Type],"Savoir")</f>
        <v>44</v>
      </c>
      <c r="S8" s="34">
        <f>R8/SUM(R7:R9)</f>
        <v>0.44</v>
      </c>
      <c r="V8" s="50" t="s">
        <v>133</v>
      </c>
      <c r="W8" s="22"/>
      <c r="Y8">
        <v>4</v>
      </c>
      <c r="Z8" s="23">
        <v>4</v>
      </c>
      <c r="AB8" s="22"/>
    </row>
    <row r="9" spans="2:28" ht="15.75" thickBot="1" x14ac:dyDescent="0.3">
      <c r="B9" s="22"/>
      <c r="C9" s="3" t="s">
        <v>5</v>
      </c>
      <c r="D9" s="27">
        <f>COUNTIF(Aspects[Loyauté],"Neutre")</f>
        <v>15</v>
      </c>
      <c r="E9" s="34">
        <f>D9/SUM($D$8:$D$10)</f>
        <v>0.41666666666666669</v>
      </c>
      <c r="G9" s="7" t="s">
        <v>40</v>
      </c>
      <c r="H9">
        <v>1</v>
      </c>
      <c r="I9">
        <v>2</v>
      </c>
      <c r="J9">
        <v>3</v>
      </c>
      <c r="N9" s="23"/>
      <c r="P9" s="22"/>
      <c r="Q9" s="4" t="s">
        <v>128</v>
      </c>
      <c r="R9" s="29">
        <f>COUNTIF(Sorts[Type],"Instinct")</f>
        <v>29</v>
      </c>
      <c r="S9" s="35">
        <f>R9/SUM(R7:R9)</f>
        <v>0.28999999999999998</v>
      </c>
      <c r="V9" s="50" t="s">
        <v>113</v>
      </c>
      <c r="W9" s="22">
        <v>1</v>
      </c>
      <c r="X9">
        <v>2</v>
      </c>
      <c r="Y9">
        <v>3</v>
      </c>
      <c r="Z9" s="23">
        <v>6</v>
      </c>
      <c r="AB9" s="22"/>
    </row>
    <row r="10" spans="2:28" ht="15.75" thickBot="1" x14ac:dyDescent="0.3">
      <c r="B10" s="22"/>
      <c r="C10" s="4" t="s">
        <v>13</v>
      </c>
      <c r="D10" s="29">
        <f>COUNTIF(Aspects[Loyauté],"Chaotique")</f>
        <v>12</v>
      </c>
      <c r="E10" s="35">
        <f>D10/SUM($D$8:$D$10)</f>
        <v>0.33333333333333331</v>
      </c>
      <c r="G10" s="7" t="s">
        <v>43</v>
      </c>
      <c r="H10">
        <v>1</v>
      </c>
      <c r="I10">
        <v>4</v>
      </c>
      <c r="J10">
        <v>1</v>
      </c>
      <c r="N10" s="23"/>
      <c r="P10" s="22"/>
      <c r="V10" s="50" t="s">
        <v>131</v>
      </c>
      <c r="W10" s="22">
        <v>1</v>
      </c>
      <c r="X10">
        <v>2</v>
      </c>
      <c r="Y10">
        <v>1</v>
      </c>
      <c r="Z10" s="23">
        <v>4</v>
      </c>
      <c r="AB10" s="22"/>
    </row>
    <row r="11" spans="2:28" x14ac:dyDescent="0.25">
      <c r="B11" s="22"/>
      <c r="G11" s="7" t="s">
        <v>39</v>
      </c>
      <c r="I11">
        <v>3</v>
      </c>
      <c r="J11">
        <v>2</v>
      </c>
      <c r="N11" s="23"/>
      <c r="P11" s="22"/>
      <c r="Q11" s="5" t="s">
        <v>113</v>
      </c>
      <c r="R11" s="30">
        <f>COUNTIF(Sorts[Element],"Feu")</f>
        <v>14</v>
      </c>
      <c r="S11" s="36">
        <f>R11/SUM(R11:R19)</f>
        <v>0.11290322580645161</v>
      </c>
      <c r="V11" s="50" t="s">
        <v>130</v>
      </c>
      <c r="W11" s="22">
        <v>1</v>
      </c>
      <c r="X11">
        <v>1</v>
      </c>
      <c r="Y11">
        <v>1</v>
      </c>
      <c r="Z11" s="23">
        <v>3</v>
      </c>
      <c r="AB11" s="22"/>
    </row>
    <row r="12" spans="2:28" ht="15.75" thickBot="1" x14ac:dyDescent="0.3">
      <c r="B12" s="22"/>
      <c r="N12" s="23"/>
      <c r="P12" s="22"/>
      <c r="Q12" s="3" t="s">
        <v>130</v>
      </c>
      <c r="R12" s="31">
        <f>COUNTIF(Sorts[Element],"Glace")</f>
        <v>14</v>
      </c>
      <c r="S12" s="37">
        <f>R12/SUM(R11:R19)</f>
        <v>0.11290322580645161</v>
      </c>
      <c r="V12" s="50" t="s">
        <v>135</v>
      </c>
      <c r="W12" s="22">
        <v>1</v>
      </c>
      <c r="Y12">
        <v>2</v>
      </c>
      <c r="Z12" s="23">
        <v>3</v>
      </c>
      <c r="AB12" s="22"/>
    </row>
    <row r="13" spans="2:28" x14ac:dyDescent="0.25">
      <c r="B13" s="22"/>
      <c r="C13" s="5" t="s">
        <v>37</v>
      </c>
      <c r="D13" s="28">
        <f>COUNTIF(Aspects[Stat améliorée],"Force")</f>
        <v>5</v>
      </c>
      <c r="E13" s="33">
        <f t="shared" ref="E13:E19" si="0">D13/SUM($D$13:$D$19)</f>
        <v>0.1388888888888889</v>
      </c>
      <c r="G13" s="6" t="s">
        <v>69</v>
      </c>
      <c r="H13" s="6" t="s">
        <v>70</v>
      </c>
      <c r="N13" s="23"/>
      <c r="P13" s="22"/>
      <c r="Q13" s="3" t="s">
        <v>131</v>
      </c>
      <c r="R13" s="31">
        <f>COUNTIF(Sorts[Element],"Foudre")</f>
        <v>15</v>
      </c>
      <c r="S13" s="37">
        <f>R13/SUM(R11:R19)</f>
        <v>0.12096774193548387</v>
      </c>
      <c r="V13" s="50" t="s">
        <v>136</v>
      </c>
      <c r="W13" s="22">
        <v>1</v>
      </c>
      <c r="X13">
        <v>1</v>
      </c>
      <c r="Y13">
        <v>1</v>
      </c>
      <c r="Z13" s="23">
        <v>3</v>
      </c>
      <c r="AB13" s="22"/>
    </row>
    <row r="14" spans="2:28" x14ac:dyDescent="0.25">
      <c r="B14" s="22"/>
      <c r="C14" s="3" t="s">
        <v>38</v>
      </c>
      <c r="D14" s="27">
        <f>COUNTIF(Aspects[Stat améliorée],"Dextérité")</f>
        <v>5</v>
      </c>
      <c r="E14" s="34">
        <f t="shared" si="0"/>
        <v>0.1388888888888889</v>
      </c>
      <c r="G14" s="6" t="s">
        <v>70</v>
      </c>
      <c r="H14" t="s">
        <v>13</v>
      </c>
      <c r="I14" t="s">
        <v>12</v>
      </c>
      <c r="J14" t="s">
        <v>5</v>
      </c>
      <c r="N14" s="23"/>
      <c r="P14" s="22"/>
      <c r="Q14" s="3" t="s">
        <v>132</v>
      </c>
      <c r="R14" s="31">
        <f>COUNTIF(Sorts[Element],"Terre")</f>
        <v>15</v>
      </c>
      <c r="S14" s="37">
        <f>R14/SUM(R11:R19)</f>
        <v>0.12096774193548387</v>
      </c>
      <c r="V14" s="50" t="s">
        <v>137</v>
      </c>
      <c r="W14" s="22">
        <v>1</v>
      </c>
      <c r="Z14" s="23">
        <v>1</v>
      </c>
      <c r="AB14" s="22"/>
    </row>
    <row r="15" spans="2:28" x14ac:dyDescent="0.25">
      <c r="B15" s="22"/>
      <c r="C15" s="3" t="s">
        <v>39</v>
      </c>
      <c r="D15" s="27">
        <f>COUNTIF(Aspects[Stat améliorée],"Résilience")</f>
        <v>5</v>
      </c>
      <c r="E15" s="34">
        <f t="shared" si="0"/>
        <v>0.1388888888888889</v>
      </c>
      <c r="G15" s="7" t="s">
        <v>41</v>
      </c>
      <c r="I15">
        <v>1</v>
      </c>
      <c r="J15">
        <v>3</v>
      </c>
      <c r="N15" s="23"/>
      <c r="P15" s="22"/>
      <c r="Q15" s="3" t="s">
        <v>133</v>
      </c>
      <c r="R15" s="31">
        <f>COUNTIF(Sorts[Element],"Arcane")</f>
        <v>20</v>
      </c>
      <c r="S15" s="37">
        <f>R15/SUM(R11:R19)</f>
        <v>0.16129032258064516</v>
      </c>
      <c r="V15" s="51" t="s">
        <v>132</v>
      </c>
      <c r="W15" s="22">
        <v>1</v>
      </c>
      <c r="X15">
        <v>2</v>
      </c>
      <c r="Y15">
        <v>2</v>
      </c>
      <c r="Z15" s="23">
        <v>5</v>
      </c>
      <c r="AB15" s="22"/>
    </row>
    <row r="16" spans="2:28" x14ac:dyDescent="0.25">
      <c r="B16" s="22"/>
      <c r="C16" s="3" t="s">
        <v>40</v>
      </c>
      <c r="D16" s="27">
        <f>COUNTIF(Aspects[Stat améliorée],"Intelligence")</f>
        <v>6</v>
      </c>
      <c r="E16" s="34">
        <f t="shared" si="0"/>
        <v>0.16666666666666666</v>
      </c>
      <c r="G16" s="7" t="s">
        <v>38</v>
      </c>
      <c r="H16">
        <v>2</v>
      </c>
      <c r="I16">
        <v>1</v>
      </c>
      <c r="J16">
        <v>2</v>
      </c>
      <c r="N16" s="23"/>
      <c r="P16" s="22"/>
      <c r="Q16" s="3" t="s">
        <v>134</v>
      </c>
      <c r="R16" s="31">
        <f>COUNTIF(Sorts[Element],"Air")</f>
        <v>14</v>
      </c>
      <c r="S16" s="37">
        <f>R16/SUM(R11:R19)</f>
        <v>0.11290322580645161</v>
      </c>
      <c r="V16" s="54">
        <v>2</v>
      </c>
      <c r="W16" s="22">
        <v>7</v>
      </c>
      <c r="X16">
        <v>6</v>
      </c>
      <c r="Y16">
        <v>13</v>
      </c>
      <c r="Z16" s="23">
        <v>26</v>
      </c>
      <c r="AB16" s="22"/>
    </row>
    <row r="17" spans="2:28" x14ac:dyDescent="0.25">
      <c r="B17" s="22"/>
      <c r="C17" s="3" t="s">
        <v>41</v>
      </c>
      <c r="D17" s="27">
        <f>COUNTIF(Aspects[Stat améliorée],"Curiosité")</f>
        <v>4</v>
      </c>
      <c r="E17" s="34">
        <f t="shared" si="0"/>
        <v>0.1111111111111111</v>
      </c>
      <c r="G17" s="7" t="s">
        <v>42</v>
      </c>
      <c r="H17">
        <v>1</v>
      </c>
      <c r="I17">
        <v>2</v>
      </c>
      <c r="J17">
        <v>2</v>
      </c>
      <c r="N17" s="23"/>
      <c r="P17" s="22"/>
      <c r="Q17" s="3" t="s">
        <v>136</v>
      </c>
      <c r="R17" s="31">
        <f>COUNTIF(Sorts[Element],"Nature")</f>
        <v>11</v>
      </c>
      <c r="S17" s="37">
        <f>R17/SUM(R11:R19)</f>
        <v>8.8709677419354843E-2</v>
      </c>
      <c r="V17" s="55" t="s">
        <v>134</v>
      </c>
      <c r="W17" s="22">
        <v>1</v>
      </c>
      <c r="X17">
        <v>2</v>
      </c>
      <c r="Y17">
        <v>1</v>
      </c>
      <c r="Z17" s="23">
        <v>4</v>
      </c>
      <c r="AB17" s="22"/>
    </row>
    <row r="18" spans="2:28" x14ac:dyDescent="0.25">
      <c r="B18" s="22"/>
      <c r="C18" s="3" t="s">
        <v>42</v>
      </c>
      <c r="D18" s="27">
        <f>COUNTIF(Aspects[Stat améliorée],"Éloquence")</f>
        <v>5</v>
      </c>
      <c r="E18" s="34">
        <f t="shared" si="0"/>
        <v>0.1388888888888889</v>
      </c>
      <c r="G18" s="7" t="s">
        <v>37</v>
      </c>
      <c r="H18">
        <v>2</v>
      </c>
      <c r="I18">
        <v>1</v>
      </c>
      <c r="J18">
        <v>2</v>
      </c>
      <c r="N18" s="23"/>
      <c r="P18" s="22"/>
      <c r="Q18" s="3" t="s">
        <v>135</v>
      </c>
      <c r="R18" s="31">
        <f>COUNTIF(Sorts[Element],"Lumière")</f>
        <v>11</v>
      </c>
      <c r="S18" s="37">
        <f>R18/SUM(R11:R19)</f>
        <v>8.8709677419354843E-2</v>
      </c>
      <c r="V18" s="50" t="s">
        <v>133</v>
      </c>
      <c r="W18" s="22">
        <v>1</v>
      </c>
      <c r="Y18">
        <v>4</v>
      </c>
      <c r="Z18" s="23">
        <v>5</v>
      </c>
      <c r="AB18" s="22"/>
    </row>
    <row r="19" spans="2:28" ht="15.75" thickBot="1" x14ac:dyDescent="0.3">
      <c r="B19" s="22"/>
      <c r="C19" s="4" t="s">
        <v>43</v>
      </c>
      <c r="D19" s="29">
        <f>COUNTIF(Aspects[Stat améliorée],"Psyché")</f>
        <v>6</v>
      </c>
      <c r="E19" s="35">
        <f t="shared" si="0"/>
        <v>0.16666666666666666</v>
      </c>
      <c r="G19" s="7" t="s">
        <v>40</v>
      </c>
      <c r="H19">
        <v>3</v>
      </c>
      <c r="I19">
        <v>2</v>
      </c>
      <c r="J19">
        <v>1</v>
      </c>
      <c r="N19" s="23"/>
      <c r="P19" s="22"/>
      <c r="Q19" s="4" t="s">
        <v>137</v>
      </c>
      <c r="R19" s="32">
        <f>COUNTIF(Sorts[Element],"Psy")</f>
        <v>10</v>
      </c>
      <c r="S19" s="38">
        <f>R19/SUM(R11:R19)</f>
        <v>8.0645161290322578E-2</v>
      </c>
      <c r="V19" s="50" t="s">
        <v>113</v>
      </c>
      <c r="W19" s="22"/>
      <c r="X19">
        <v>1</v>
      </c>
      <c r="Y19">
        <v>1</v>
      </c>
      <c r="Z19" s="23">
        <v>2</v>
      </c>
      <c r="AB19" s="22"/>
    </row>
    <row r="20" spans="2:28" x14ac:dyDescent="0.25">
      <c r="B20" s="22"/>
      <c r="G20" s="7" t="s">
        <v>43</v>
      </c>
      <c r="H20">
        <v>1</v>
      </c>
      <c r="I20">
        <v>1</v>
      </c>
      <c r="J20">
        <v>4</v>
      </c>
      <c r="N20" s="23"/>
      <c r="P20" s="22"/>
      <c r="V20" s="50" t="s">
        <v>131</v>
      </c>
      <c r="W20" s="22">
        <v>1</v>
      </c>
      <c r="X20">
        <v>1</v>
      </c>
      <c r="Y20">
        <v>1</v>
      </c>
      <c r="Z20" s="23">
        <v>3</v>
      </c>
      <c r="AB20" s="22"/>
    </row>
    <row r="21" spans="2:28" x14ac:dyDescent="0.25">
      <c r="B21" s="22"/>
      <c r="G21" s="7" t="s">
        <v>39</v>
      </c>
      <c r="H21">
        <v>3</v>
      </c>
      <c r="I21">
        <v>1</v>
      </c>
      <c r="J21">
        <v>1</v>
      </c>
      <c r="N21" s="23"/>
      <c r="P21" s="22"/>
      <c r="Q21" s="53" t="s">
        <v>74</v>
      </c>
      <c r="R21" s="42" t="s">
        <v>242</v>
      </c>
      <c r="V21" s="50" t="s">
        <v>130</v>
      </c>
      <c r="W21" s="22">
        <v>1</v>
      </c>
      <c r="X21">
        <v>1</v>
      </c>
      <c r="Y21">
        <v>2</v>
      </c>
      <c r="Z21" s="23">
        <v>4</v>
      </c>
      <c r="AB21" s="22"/>
    </row>
    <row r="22" spans="2:28" x14ac:dyDescent="0.25">
      <c r="B22" s="24"/>
      <c r="C22" s="25"/>
      <c r="D22" s="25"/>
      <c r="E22" s="25"/>
      <c r="F22" s="25"/>
      <c r="G22" s="25"/>
      <c r="H22" s="25"/>
      <c r="I22" s="25"/>
      <c r="J22" s="25"/>
      <c r="K22" s="25"/>
      <c r="L22" s="25"/>
      <c r="M22" s="25"/>
      <c r="N22" s="26"/>
      <c r="P22" s="22"/>
      <c r="V22" s="50" t="s">
        <v>135</v>
      </c>
      <c r="W22" s="22"/>
      <c r="Y22">
        <v>1</v>
      </c>
      <c r="Z22" s="23">
        <v>1</v>
      </c>
      <c r="AB22" s="22"/>
    </row>
    <row r="23" spans="2:28" x14ac:dyDescent="0.25">
      <c r="P23" s="22"/>
      <c r="Q23" s="44" t="s">
        <v>69</v>
      </c>
      <c r="R23" s="43"/>
      <c r="S23" s="45"/>
      <c r="T23" s="46"/>
      <c r="V23" s="50" t="s">
        <v>136</v>
      </c>
      <c r="W23" s="22">
        <v>1</v>
      </c>
      <c r="Y23">
        <v>1</v>
      </c>
      <c r="Z23" s="23">
        <v>2</v>
      </c>
      <c r="AB23" s="22"/>
    </row>
    <row r="24" spans="2:28" x14ac:dyDescent="0.25">
      <c r="P24" s="22"/>
      <c r="Q24" s="31"/>
      <c r="R24" s="58" t="s">
        <v>128</v>
      </c>
      <c r="S24" s="59" t="s">
        <v>112</v>
      </c>
      <c r="T24" s="60" t="s">
        <v>119</v>
      </c>
      <c r="V24" s="50" t="s">
        <v>137</v>
      </c>
      <c r="W24" s="22">
        <v>2</v>
      </c>
      <c r="Y24">
        <v>1</v>
      </c>
      <c r="Z24" s="23">
        <v>3</v>
      </c>
      <c r="AB24" s="22"/>
    </row>
    <row r="25" spans="2:28" x14ac:dyDescent="0.25">
      <c r="P25" s="22"/>
      <c r="Q25" s="47">
        <v>1</v>
      </c>
      <c r="R25" s="19">
        <v>7</v>
      </c>
      <c r="S25" s="20">
        <v>10</v>
      </c>
      <c r="T25" s="21">
        <v>16</v>
      </c>
      <c r="V25" s="51" t="s">
        <v>132</v>
      </c>
      <c r="W25" s="22"/>
      <c r="X25">
        <v>1</v>
      </c>
      <c r="Y25">
        <v>1</v>
      </c>
      <c r="Z25" s="23">
        <v>2</v>
      </c>
      <c r="AB25" s="22"/>
    </row>
    <row r="26" spans="2:28" x14ac:dyDescent="0.25">
      <c r="P26" s="22"/>
      <c r="Q26" s="48">
        <v>2</v>
      </c>
      <c r="R26" s="22">
        <v>7</v>
      </c>
      <c r="S26">
        <v>6</v>
      </c>
      <c r="T26" s="23">
        <v>13</v>
      </c>
      <c r="V26" s="54">
        <v>3</v>
      </c>
      <c r="W26" s="22">
        <v>5</v>
      </c>
      <c r="X26">
        <v>3</v>
      </c>
      <c r="Y26">
        <v>9</v>
      </c>
      <c r="Z26" s="23">
        <v>17</v>
      </c>
      <c r="AB26" s="22"/>
    </row>
    <row r="27" spans="2:28" x14ac:dyDescent="0.25">
      <c r="P27" s="22"/>
      <c r="Q27" s="49">
        <v>3</v>
      </c>
      <c r="R27" s="24">
        <v>5</v>
      </c>
      <c r="S27" s="25">
        <v>3</v>
      </c>
      <c r="T27" s="26">
        <v>9</v>
      </c>
      <c r="V27" s="61" t="s">
        <v>134</v>
      </c>
      <c r="W27" s="22">
        <v>1</v>
      </c>
      <c r="Z27" s="23">
        <v>1</v>
      </c>
      <c r="AB27" s="22"/>
    </row>
    <row r="28" spans="2:28" x14ac:dyDescent="0.25">
      <c r="P28" s="22"/>
      <c r="V28" s="55" t="s">
        <v>133</v>
      </c>
      <c r="W28" s="22">
        <v>1</v>
      </c>
      <c r="Y28">
        <v>3</v>
      </c>
      <c r="Z28" s="23">
        <v>4</v>
      </c>
      <c r="AB28" s="22"/>
    </row>
    <row r="29" spans="2:28" x14ac:dyDescent="0.25">
      <c r="P29" s="22"/>
      <c r="V29" s="50" t="s">
        <v>113</v>
      </c>
      <c r="W29" s="22"/>
      <c r="Y29">
        <v>1</v>
      </c>
      <c r="Z29" s="23">
        <v>1</v>
      </c>
      <c r="AB29" s="22"/>
    </row>
    <row r="30" spans="2:28" x14ac:dyDescent="0.25">
      <c r="P30" s="22"/>
      <c r="V30" s="50" t="s">
        <v>131</v>
      </c>
      <c r="W30" s="22">
        <v>1</v>
      </c>
      <c r="X30">
        <v>1</v>
      </c>
      <c r="Y30">
        <v>1</v>
      </c>
      <c r="Z30" s="23">
        <v>3</v>
      </c>
      <c r="AB30" s="22"/>
    </row>
    <row r="31" spans="2:28" x14ac:dyDescent="0.25">
      <c r="P31" s="22"/>
      <c r="V31" s="50" t="s">
        <v>130</v>
      </c>
      <c r="W31" s="22">
        <v>1</v>
      </c>
      <c r="X31">
        <v>1</v>
      </c>
      <c r="Y31">
        <v>1</v>
      </c>
      <c r="Z31" s="23">
        <v>3</v>
      </c>
      <c r="AB31" s="22"/>
    </row>
    <row r="32" spans="2:28" x14ac:dyDescent="0.25">
      <c r="P32" s="22"/>
      <c r="V32" s="51" t="s">
        <v>135</v>
      </c>
      <c r="W32" s="22"/>
      <c r="Y32">
        <v>1</v>
      </c>
      <c r="Z32" s="23">
        <v>1</v>
      </c>
      <c r="AB32" s="22"/>
    </row>
    <row r="33" spans="16:28" x14ac:dyDescent="0.25">
      <c r="P33" s="22"/>
      <c r="V33" s="61" t="s">
        <v>136</v>
      </c>
      <c r="W33" s="22">
        <v>1</v>
      </c>
      <c r="Z33" s="23">
        <v>1</v>
      </c>
      <c r="AB33" s="22"/>
    </row>
    <row r="34" spans="16:28" x14ac:dyDescent="0.25">
      <c r="P34" s="22"/>
      <c r="V34" s="62" t="s">
        <v>132</v>
      </c>
      <c r="W34" s="24"/>
      <c r="X34" s="25">
        <v>1</v>
      </c>
      <c r="Y34" s="25">
        <v>2</v>
      </c>
      <c r="Z34" s="26">
        <v>3</v>
      </c>
      <c r="AB34" s="22"/>
    </row>
    <row r="35" spans="16:28" x14ac:dyDescent="0.25">
      <c r="P35" s="22"/>
      <c r="AB35" s="22"/>
    </row>
    <row r="36" spans="16:28" x14ac:dyDescent="0.25">
      <c r="P36" s="22"/>
      <c r="AB36" s="22"/>
    </row>
    <row r="37" spans="16:28" x14ac:dyDescent="0.25">
      <c r="P37" s="22"/>
      <c r="AB37" s="22"/>
    </row>
    <row r="38" spans="16:28" x14ac:dyDescent="0.25">
      <c r="P38" s="22"/>
      <c r="AB38" s="22"/>
    </row>
    <row r="39" spans="16:28" x14ac:dyDescent="0.25">
      <c r="P39" s="22"/>
      <c r="AB39" s="22"/>
    </row>
    <row r="40" spans="16:28" x14ac:dyDescent="0.25">
      <c r="P40" s="22"/>
      <c r="AB40" s="22"/>
    </row>
    <row r="41" spans="16:28" x14ac:dyDescent="0.25">
      <c r="P41" s="22"/>
      <c r="AB41" s="22"/>
    </row>
    <row r="42" spans="16:28" x14ac:dyDescent="0.25">
      <c r="P42" s="24"/>
      <c r="Q42" s="25"/>
      <c r="R42" s="25"/>
      <c r="S42" s="25"/>
      <c r="T42" s="25"/>
      <c r="U42" s="25"/>
      <c r="V42" s="25"/>
      <c r="W42" s="25"/>
      <c r="X42" s="25"/>
      <c r="Y42" s="25"/>
      <c r="Z42" s="25"/>
      <c r="AA42" s="25"/>
      <c r="AB42" s="2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O9" sqref="O9"/>
    </sheetView>
  </sheetViews>
  <sheetFormatPr baseColWidth="10" defaultRowHeight="15" x14ac:dyDescent="0.25"/>
  <cols>
    <col min="1" max="1" width="15.140625" customWidth="1"/>
    <col min="2" max="2" width="13.7109375" bestFit="1" customWidth="1"/>
    <col min="3" max="3" width="12.7109375" style="12" hidden="1" customWidth="1"/>
    <col min="4" max="4" width="13" style="12" hidden="1" customWidth="1"/>
    <col min="5" max="5" width="12" style="12" bestFit="1" customWidth="1"/>
    <col min="6" max="6" width="13.5703125" style="12" hidden="1" customWidth="1"/>
    <col min="7" max="7" width="13.85546875" style="12" hidden="1" customWidth="1"/>
    <col min="8" max="8" width="15.140625" style="12" bestFit="1" customWidth="1"/>
    <col min="9" max="9" width="12.7109375" style="12" hidden="1" customWidth="1"/>
    <col min="10" max="10" width="13" style="12" hidden="1" customWidth="1"/>
    <col min="11" max="11" width="11.42578125" style="12"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15" t="s">
        <v>33</v>
      </c>
      <c r="C1" s="12" t="s">
        <v>64</v>
      </c>
      <c r="D1" s="12" t="s">
        <v>27</v>
      </c>
      <c r="E1" s="15" t="s">
        <v>34</v>
      </c>
      <c r="F1" s="12" t="s">
        <v>28</v>
      </c>
      <c r="G1" s="12" t="s">
        <v>29</v>
      </c>
      <c r="H1" s="15" t="s">
        <v>35</v>
      </c>
      <c r="I1" s="12" t="s">
        <v>30</v>
      </c>
      <c r="J1" s="12" t="s">
        <v>31</v>
      </c>
      <c r="K1" s="11" t="s">
        <v>65</v>
      </c>
      <c r="L1" s="11" t="s">
        <v>67</v>
      </c>
      <c r="M1" s="11" t="s">
        <v>68</v>
      </c>
      <c r="N1" s="12" t="s">
        <v>77</v>
      </c>
      <c r="O1" t="s">
        <v>75</v>
      </c>
      <c r="P1" t="s">
        <v>3</v>
      </c>
      <c r="Q1" s="11" t="s">
        <v>1</v>
      </c>
      <c r="R1" s="11" t="s">
        <v>2</v>
      </c>
      <c r="S1" t="s">
        <v>36</v>
      </c>
      <c r="T1" t="s">
        <v>72</v>
      </c>
      <c r="U1" t="s">
        <v>73</v>
      </c>
      <c r="V1" t="s">
        <v>71</v>
      </c>
      <c r="W1" t="s">
        <v>74</v>
      </c>
    </row>
    <row r="2" spans="1:23" x14ac:dyDescent="0.25">
      <c r="A2" s="1" t="s">
        <v>18</v>
      </c>
      <c r="B2" s="16" t="str">
        <f>Aspects[[#This Row],[Phy min]] &amp; " - " &amp; Aspects[[#This Row],[Phy max]]</f>
        <v>18 - 25</v>
      </c>
      <c r="C2" s="13">
        <v>18</v>
      </c>
      <c r="D2" s="13">
        <v>25</v>
      </c>
      <c r="E2" s="16" t="str">
        <f>Aspects[[#This Row],[Men min]] &amp; " - " &amp; Aspects[[#This Row],[Men max]]</f>
        <v>8 - 12</v>
      </c>
      <c r="F2" s="13">
        <v>8</v>
      </c>
      <c r="G2" s="13">
        <v>12</v>
      </c>
      <c r="H2" s="16" t="str">
        <f>Aspects[[#This Row],[Cha min]] &amp; " - " &amp; Aspects[[#This Row],[Cha max]]</f>
        <v>8 - 12</v>
      </c>
      <c r="I2" s="13">
        <v>8</v>
      </c>
      <c r="J2" s="13">
        <v>12</v>
      </c>
      <c r="K2" s="14">
        <f>Aspects[[#This Row],[Phy min]]+Aspects[[#This Row],[Men min]]+Aspects[[#This Row],[Cha min]]</f>
        <v>34</v>
      </c>
      <c r="L2" s="14">
        <f>Aspects[[#This Row],[Phy max]]+Aspects[[#This Row],[Men max]]+Aspects[[#This Row],[Cha max]]</f>
        <v>49</v>
      </c>
      <c r="M2" s="14">
        <f>MAX(Aspects[[#This Row],[Max stats]]-Aspects[[#This Row],[Min stats]],0)</f>
        <v>15</v>
      </c>
      <c r="N2" s="12">
        <f>ROUNDUP(AVERAGE(Aspects[[#This Row],[Phy min]:[Phy max]])*WPHYSIC+AVERAGE(Aspects[[#This Row],[Men min]:[Men max]])*WMENTAL+AVERAGE(Aspects[[#This Row],[Cha min]:[Cha max]])*WCHARAC,0)</f>
        <v>9</v>
      </c>
      <c r="O2" s="2" t="s">
        <v>37</v>
      </c>
      <c r="P2" s="1" t="s">
        <v>7</v>
      </c>
      <c r="Q2" s="10" t="str">
        <f>IFERROR(VLOOKUP(Aspects[[#This Row],[Alignement]],Alignement[],2,FALSE),"")</f>
        <v>Bon</v>
      </c>
      <c r="R2" s="10" t="str">
        <f>IFERROR(VLOOKUP(Aspects[[#This Row],[Alignement]],Alignement[],3,FALSE),"")</f>
        <v>Neutre</v>
      </c>
      <c r="S2" s="8">
        <f>IF(Aspects[[#This Row],[Men min]]&lt;8,0,1)</f>
        <v>1</v>
      </c>
      <c r="T2" s="8">
        <f>IF(OR(AND(Aspects[[#This Row],[Min stats]]&lt;=35,Aspects[[#This Row],[Loyauté]]&lt;&gt;"Loyal"),AND(Aspects[[#This Row],[Min stats]]&lt;=25,Aspects[[#This Row],[Loyauté]]="Loyal")),1,0)</f>
        <v>1</v>
      </c>
      <c r="U2" s="8">
        <f>IF(Aspects[[#This Row],[Max stats]]&gt;=43,1,0)</f>
        <v>1</v>
      </c>
      <c r="V2" s="8">
        <f>IF(OR(AND(Aspects[[#This Row],[Range stats]]&gt;=15,Aspects[[#This Row],[Range stats]]&lt;=27,Aspects[[#This Row],[Loyauté]]&lt;&gt;"Loyal"),AND(Aspects[[#This Row],[Range stats]]&gt;=27,Aspects[[#This Row],[Range stats]]&lt;=40,Aspects[[#This Row],[Loyauté]]="Loyal")),1,0)</f>
        <v>1</v>
      </c>
      <c r="W2" s="9"/>
    </row>
    <row r="3" spans="1:23" x14ac:dyDescent="0.25">
      <c r="A3" s="1" t="s">
        <v>24</v>
      </c>
      <c r="B3" s="16" t="str">
        <f>Aspects[[#This Row],[Phy min]] &amp; " - " &amp; Aspects[[#This Row],[Phy max]]</f>
        <v>6 - 18</v>
      </c>
      <c r="C3" s="13">
        <v>6</v>
      </c>
      <c r="D3" s="13">
        <v>18</v>
      </c>
      <c r="E3" s="16" t="str">
        <f>Aspects[[#This Row],[Men min]] &amp; " - " &amp; Aspects[[#This Row],[Men max]]</f>
        <v>15 - 20</v>
      </c>
      <c r="F3" s="13">
        <v>15</v>
      </c>
      <c r="G3" s="13">
        <v>20</v>
      </c>
      <c r="H3" s="16" t="str">
        <f>Aspects[[#This Row],[Cha min]] &amp; " - " &amp; Aspects[[#This Row],[Cha max]]</f>
        <v>10 - 20</v>
      </c>
      <c r="I3" s="13">
        <v>10</v>
      </c>
      <c r="J3" s="13">
        <v>20</v>
      </c>
      <c r="K3" s="14">
        <f>Aspects[[#This Row],[Phy min]]+Aspects[[#This Row],[Men min]]+Aspects[[#This Row],[Cha min]]</f>
        <v>31</v>
      </c>
      <c r="L3" s="14">
        <f>Aspects[[#This Row],[Phy max]]+Aspects[[#This Row],[Men max]]+Aspects[[#This Row],[Cha max]]</f>
        <v>58</v>
      </c>
      <c r="M3" s="14">
        <f>MAX(Aspects[[#This Row],[Max stats]]-Aspects[[#This Row],[Min stats]],0)</f>
        <v>27</v>
      </c>
      <c r="N3" s="12">
        <f>ROUNDUP(AVERAGE(Aspects[[#This Row],[Phy min]:[Phy max]])*WPHYSIC+AVERAGE(Aspects[[#This Row],[Men min]:[Men max]])*WMENTAL+AVERAGE(Aspects[[#This Row],[Cha min]:[Cha max]])*WCHARAC,0)</f>
        <v>10</v>
      </c>
      <c r="O3" s="2" t="s">
        <v>40</v>
      </c>
      <c r="P3" s="1" t="s">
        <v>4</v>
      </c>
      <c r="Q3" s="10" t="str">
        <f>IFERROR(VLOOKUP(Aspects[[#This Row],[Alignement]],Alignement[],2,FALSE),"")</f>
        <v>Neutre</v>
      </c>
      <c r="R3" s="10" t="str">
        <f>IFERROR(VLOOKUP(Aspects[[#This Row],[Alignement]],Alignement[],3,FALSE),"")</f>
        <v>Chaotique</v>
      </c>
      <c r="S3" s="8">
        <f>IF(Aspects[[#This Row],[Men min]]&lt;8,0,1)</f>
        <v>1</v>
      </c>
      <c r="T3" s="8">
        <f>IF(OR(AND(Aspects[[#This Row],[Min stats]]&lt;=35,Aspects[[#This Row],[Loyauté]]&lt;&gt;"Loyal"),AND(Aspects[[#This Row],[Min stats]]&lt;=25,Aspects[[#This Row],[Loyauté]]="Loyal")),1,0)</f>
        <v>1</v>
      </c>
      <c r="U3" s="8">
        <f>IF(Aspects[[#This Row],[Max stats]]&gt;=43,1,0)</f>
        <v>1</v>
      </c>
      <c r="V3" s="8">
        <f>IF(OR(AND(Aspects[[#This Row],[Range stats]]&gt;=15,Aspects[[#This Row],[Range stats]]&lt;=27,Aspects[[#This Row],[Loyauté]]&lt;&gt;"Loyal"),AND(Aspects[[#This Row],[Range stats]]&gt;=27,Aspects[[#This Row],[Range stats]]&lt;=40,Aspects[[#This Row],[Loyauté]]="Loyal")),1,0)</f>
        <v>1</v>
      </c>
      <c r="W3" s="9"/>
    </row>
    <row r="4" spans="1:23" x14ac:dyDescent="0.25">
      <c r="A4" s="1" t="s">
        <v>58</v>
      </c>
      <c r="B4" s="16" t="str">
        <f>Aspects[[#This Row],[Phy min]] &amp; " - " &amp; Aspects[[#This Row],[Phy max]]</f>
        <v>18 - 25</v>
      </c>
      <c r="C4" s="13">
        <v>18</v>
      </c>
      <c r="D4" s="13">
        <v>25</v>
      </c>
      <c r="E4" s="16" t="str">
        <f>Aspects[[#This Row],[Men min]] &amp; " - " &amp; Aspects[[#This Row],[Men max]]</f>
        <v>5 - 12</v>
      </c>
      <c r="F4" s="13">
        <v>5</v>
      </c>
      <c r="G4" s="13">
        <v>12</v>
      </c>
      <c r="H4" s="16" t="str">
        <f>Aspects[[#This Row],[Cha min]] &amp; " - " &amp; Aspects[[#This Row],[Cha max]]</f>
        <v>5 - 15</v>
      </c>
      <c r="I4" s="13">
        <v>5</v>
      </c>
      <c r="J4" s="13">
        <v>15</v>
      </c>
      <c r="K4" s="14">
        <f>Aspects[[#This Row],[Phy min]]+Aspects[[#This Row],[Men min]]+Aspects[[#This Row],[Cha min]]</f>
        <v>28</v>
      </c>
      <c r="L4" s="14">
        <f>Aspects[[#This Row],[Phy max]]+Aspects[[#This Row],[Men max]]+Aspects[[#This Row],[Cha max]]</f>
        <v>52</v>
      </c>
      <c r="M4" s="14">
        <f>MAX(Aspects[[#This Row],[Max stats]]-Aspects[[#This Row],[Min stats]],0)</f>
        <v>24</v>
      </c>
      <c r="N4" s="12">
        <f>ROUNDUP(AVERAGE(Aspects[[#This Row],[Phy min]:[Phy max]])*WPHYSIC+AVERAGE(Aspects[[#This Row],[Men min]:[Men max]])*WMENTAL+AVERAGE(Aspects[[#This Row],[Cha min]:[Cha max]])*WCHARAC,0)</f>
        <v>8</v>
      </c>
      <c r="O4" s="2" t="s">
        <v>39</v>
      </c>
      <c r="P4" s="1" t="s">
        <v>4</v>
      </c>
      <c r="Q4" s="10" t="str">
        <f>IFERROR(VLOOKUP(Aspects[[#This Row],[Alignement]],Alignement[],2,FALSE),"")</f>
        <v>Neutre</v>
      </c>
      <c r="R4" s="10" t="str">
        <f>IFERROR(VLOOKUP(Aspects[[#This Row],[Alignement]],Alignement[],3,FALSE),"")</f>
        <v>Chaotique</v>
      </c>
      <c r="S4" s="8">
        <f>IF(Aspects[[#This Row],[Men min]]&lt;8,0,1)</f>
        <v>0</v>
      </c>
      <c r="T4" s="8">
        <f>IF(OR(AND(Aspects[[#This Row],[Min stats]]&lt;=35,Aspects[[#This Row],[Loyauté]]&lt;&gt;"Loyal"),AND(Aspects[[#This Row],[Min stats]]&lt;=25,Aspects[[#This Row],[Loyauté]]="Loyal")),1,0)</f>
        <v>1</v>
      </c>
      <c r="U4" s="8">
        <f>IF(Aspects[[#This Row],[Max stats]]&gt;=43,1,0)</f>
        <v>1</v>
      </c>
      <c r="V4" s="8">
        <f>IF(OR(AND(Aspects[[#This Row],[Range stats]]&gt;=15,Aspects[[#This Row],[Range stats]]&lt;=27,Aspects[[#This Row],[Loyauté]]&lt;&gt;"Loyal"),AND(Aspects[[#This Row],[Range stats]]&gt;=27,Aspects[[#This Row],[Range stats]]&lt;=40,Aspects[[#This Row],[Loyauté]]="Loyal")),1,0)</f>
        <v>1</v>
      </c>
      <c r="W4" s="9"/>
    </row>
    <row r="5" spans="1:23" x14ac:dyDescent="0.25">
      <c r="A5" s="1" t="s">
        <v>47</v>
      </c>
      <c r="B5" s="16" t="str">
        <f>Aspects[[#This Row],[Phy min]] &amp; " - " &amp; Aspects[[#This Row],[Phy max]]</f>
        <v>6 - 15</v>
      </c>
      <c r="C5" s="13">
        <v>6</v>
      </c>
      <c r="D5" s="13">
        <v>15</v>
      </c>
      <c r="E5" s="16" t="str">
        <f>Aspects[[#This Row],[Men min]] &amp; " - " &amp; Aspects[[#This Row],[Men max]]</f>
        <v>8 - 18</v>
      </c>
      <c r="F5" s="13">
        <v>8</v>
      </c>
      <c r="G5" s="13">
        <v>18</v>
      </c>
      <c r="H5" s="16" t="str">
        <f>Aspects[[#This Row],[Cha min]] &amp; " - " &amp; Aspects[[#This Row],[Cha max]]</f>
        <v>12 - 20</v>
      </c>
      <c r="I5" s="13">
        <v>12</v>
      </c>
      <c r="J5" s="13">
        <v>20</v>
      </c>
      <c r="K5" s="14">
        <f>Aspects[[#This Row],[Phy min]]+Aspects[[#This Row],[Men min]]+Aspects[[#This Row],[Cha min]]</f>
        <v>26</v>
      </c>
      <c r="L5" s="14">
        <f>Aspects[[#This Row],[Phy max]]+Aspects[[#This Row],[Men max]]+Aspects[[#This Row],[Cha max]]</f>
        <v>53</v>
      </c>
      <c r="M5" s="14">
        <f>MAX(Aspects[[#This Row],[Max stats]]-Aspects[[#This Row],[Min stats]],0)</f>
        <v>27</v>
      </c>
      <c r="N5" s="12">
        <f>ROUNDUP(AVERAGE(Aspects[[#This Row],[Phy min]:[Phy max]])*WPHYSIC+AVERAGE(Aspects[[#This Row],[Men min]:[Men max]])*WMENTAL+AVERAGE(Aspects[[#This Row],[Cha min]:[Cha max]])*WCHARAC,0)</f>
        <v>9</v>
      </c>
      <c r="O5" s="2" t="s">
        <v>40</v>
      </c>
      <c r="P5" s="1" t="s">
        <v>0</v>
      </c>
      <c r="Q5" s="10" t="str">
        <f>IFERROR(VLOOKUP(Aspects[[#This Row],[Alignement]],Alignement[],2,FALSE),"")</f>
        <v>Mauvais</v>
      </c>
      <c r="R5" s="10" t="str">
        <f>IFERROR(VLOOKUP(Aspects[[#This Row],[Alignement]],Alignement[],3,FALSE),"")</f>
        <v>Neutre</v>
      </c>
      <c r="S5" s="8">
        <f>IF(Aspects[[#This Row],[Men min]]&lt;8,0,1)</f>
        <v>1</v>
      </c>
      <c r="T5" s="8">
        <f>IF(OR(AND(Aspects[[#This Row],[Min stats]]&lt;=35,Aspects[[#This Row],[Loyauté]]&lt;&gt;"Loyal"),AND(Aspects[[#This Row],[Min stats]]&lt;=25,Aspects[[#This Row],[Loyauté]]="Loyal")),1,0)</f>
        <v>1</v>
      </c>
      <c r="U5" s="8">
        <f>IF(Aspects[[#This Row],[Max stats]]&gt;=43,1,0)</f>
        <v>1</v>
      </c>
      <c r="V5" s="8">
        <f>IF(OR(AND(Aspects[[#This Row],[Range stats]]&gt;=15,Aspects[[#This Row],[Range stats]]&lt;=27,Aspects[[#This Row],[Loyauté]]&lt;&gt;"Loyal"),AND(Aspects[[#This Row],[Range stats]]&gt;=27,Aspects[[#This Row],[Range stats]]&lt;=40,Aspects[[#This Row],[Loyauté]]="Loyal")),1,0)</f>
        <v>1</v>
      </c>
      <c r="W5" s="9"/>
    </row>
    <row r="6" spans="1:23" x14ac:dyDescent="0.25">
      <c r="A6" s="1" t="s">
        <v>57</v>
      </c>
      <c r="B6" s="16" t="str">
        <f>Aspects[[#This Row],[Phy min]] &amp; " - " &amp; Aspects[[#This Row],[Phy max]]</f>
        <v>3 - 13</v>
      </c>
      <c r="C6" s="13">
        <v>3</v>
      </c>
      <c r="D6" s="13">
        <v>13</v>
      </c>
      <c r="E6" s="16" t="str">
        <f>Aspects[[#This Row],[Men min]] &amp; " - " &amp; Aspects[[#This Row],[Men max]]</f>
        <v>10 - 20</v>
      </c>
      <c r="F6" s="13">
        <v>10</v>
      </c>
      <c r="G6" s="13">
        <v>20</v>
      </c>
      <c r="H6" s="16" t="str">
        <f>Aspects[[#This Row],[Cha min]] &amp; " - " &amp; Aspects[[#This Row],[Cha max]]</f>
        <v>12 - 20</v>
      </c>
      <c r="I6" s="13">
        <v>12</v>
      </c>
      <c r="J6" s="13">
        <v>20</v>
      </c>
      <c r="K6" s="14">
        <f>Aspects[[#This Row],[Phy min]]+Aspects[[#This Row],[Men min]]+Aspects[[#This Row],[Cha min]]</f>
        <v>25</v>
      </c>
      <c r="L6" s="14">
        <f>Aspects[[#This Row],[Phy max]]+Aspects[[#This Row],[Men max]]+Aspects[[#This Row],[Cha max]]</f>
        <v>53</v>
      </c>
      <c r="M6" s="14">
        <f>MAX(Aspects[[#This Row],[Max stats]]-Aspects[[#This Row],[Min stats]],0)</f>
        <v>28</v>
      </c>
      <c r="N6" s="12">
        <f>ROUNDUP(AVERAGE(Aspects[[#This Row],[Phy min]:[Phy max]])*WPHYSIC+AVERAGE(Aspects[[#This Row],[Men min]:[Men max]])*WMENTAL+AVERAGE(Aspects[[#This Row],[Cha min]:[Cha max]])*WCHARAC,0)</f>
        <v>9</v>
      </c>
      <c r="O6" s="2" t="s">
        <v>42</v>
      </c>
      <c r="P6" s="1" t="s">
        <v>10</v>
      </c>
      <c r="Q6" s="10" t="str">
        <f>IFERROR(VLOOKUP(Aspects[[#This Row],[Alignement]],Alignement[],2,FALSE),"")</f>
        <v>Bon</v>
      </c>
      <c r="R6" s="10" t="str">
        <f>IFERROR(VLOOKUP(Aspects[[#This Row],[Alignement]],Alignement[],3,FALSE),"")</f>
        <v>Loyal</v>
      </c>
      <c r="S6" s="8">
        <f>IF(Aspects[[#This Row],[Men min]]&lt;8,0,1)</f>
        <v>1</v>
      </c>
      <c r="T6" s="8">
        <f>IF(OR(AND(Aspects[[#This Row],[Min stats]]&lt;=35,Aspects[[#This Row],[Loyauté]]&lt;&gt;"Loyal"),AND(Aspects[[#This Row],[Min stats]]&lt;=25,Aspects[[#This Row],[Loyauté]]="Loyal")),1,0)</f>
        <v>1</v>
      </c>
      <c r="U6" s="8">
        <f>IF(Aspects[[#This Row],[Max stats]]&gt;=43,1,0)</f>
        <v>1</v>
      </c>
      <c r="V6" s="8">
        <f>IF(OR(AND(Aspects[[#This Row],[Range stats]]&gt;=15,Aspects[[#This Row],[Range stats]]&lt;=27,Aspects[[#This Row],[Loyauté]]&lt;&gt;"Loyal"),AND(Aspects[[#This Row],[Range stats]]&gt;=27,Aspects[[#This Row],[Range stats]]&lt;=40,Aspects[[#This Row],[Loyauté]]="Loyal")),1,0)</f>
        <v>1</v>
      </c>
      <c r="W6" s="9"/>
    </row>
    <row r="7" spans="1:23" x14ac:dyDescent="0.25">
      <c r="A7" s="1" t="s">
        <v>25</v>
      </c>
      <c r="B7" s="16" t="str">
        <f>Aspects[[#This Row],[Phy min]] &amp; " - " &amp; Aspects[[#This Row],[Phy max]]</f>
        <v>18 - 25</v>
      </c>
      <c r="C7" s="13">
        <v>18</v>
      </c>
      <c r="D7" s="13">
        <v>25</v>
      </c>
      <c r="E7" s="16" t="str">
        <f>Aspects[[#This Row],[Men min]] &amp; " - " &amp; Aspects[[#This Row],[Men max]]</f>
        <v>3 - 13</v>
      </c>
      <c r="F7" s="13">
        <v>3</v>
      </c>
      <c r="G7" s="13">
        <v>13</v>
      </c>
      <c r="H7" s="16" t="str">
        <f>Aspects[[#This Row],[Cha min]] &amp; " - " &amp; Aspects[[#This Row],[Cha max]]</f>
        <v>8 - 15</v>
      </c>
      <c r="I7" s="13">
        <v>8</v>
      </c>
      <c r="J7" s="13">
        <v>15</v>
      </c>
      <c r="K7" s="14">
        <f>Aspects[[#This Row],[Phy min]]+Aspects[[#This Row],[Men min]]+Aspects[[#This Row],[Cha min]]</f>
        <v>29</v>
      </c>
      <c r="L7" s="14">
        <f>Aspects[[#This Row],[Phy max]]+Aspects[[#This Row],[Men max]]+Aspects[[#This Row],[Cha max]]</f>
        <v>53</v>
      </c>
      <c r="M7" s="14">
        <f>MAX(Aspects[[#This Row],[Max stats]]-Aspects[[#This Row],[Min stats]],0)</f>
        <v>24</v>
      </c>
      <c r="N7" s="12">
        <f>ROUNDUP(AVERAGE(Aspects[[#This Row],[Phy min]:[Phy max]])*WPHYSIC+AVERAGE(Aspects[[#This Row],[Men min]:[Men max]])*WMENTAL+AVERAGE(Aspects[[#This Row],[Cha min]:[Cha max]])*WCHARAC,0)</f>
        <v>9</v>
      </c>
      <c r="O7" s="2" t="s">
        <v>39</v>
      </c>
      <c r="P7" s="1" t="s">
        <v>4</v>
      </c>
      <c r="Q7" s="10" t="str">
        <f>IFERROR(VLOOKUP(Aspects[[#This Row],[Alignement]],Alignement[],2,FALSE),"")</f>
        <v>Neutre</v>
      </c>
      <c r="R7" s="10" t="str">
        <f>IFERROR(VLOOKUP(Aspects[[#This Row],[Alignement]],Alignement[],3,FALSE),"")</f>
        <v>Chaotique</v>
      </c>
      <c r="S7" s="8">
        <f>IF(Aspects[[#This Row],[Men min]]&lt;8,0,1)</f>
        <v>0</v>
      </c>
      <c r="T7" s="8">
        <f>IF(OR(AND(Aspects[[#This Row],[Min stats]]&lt;=35,Aspects[[#This Row],[Loyauté]]&lt;&gt;"Loyal"),AND(Aspects[[#This Row],[Min stats]]&lt;=25,Aspects[[#This Row],[Loyauté]]="Loyal")),1,0)</f>
        <v>1</v>
      </c>
      <c r="U7" s="8">
        <f>IF(Aspects[[#This Row],[Max stats]]&gt;=43,1,0)</f>
        <v>1</v>
      </c>
      <c r="V7" s="8">
        <f>IF(OR(AND(Aspects[[#This Row],[Range stats]]&gt;=15,Aspects[[#This Row],[Range stats]]&lt;=27,Aspects[[#This Row],[Loyauté]]&lt;&gt;"Loyal"),AND(Aspects[[#This Row],[Range stats]]&gt;=27,Aspects[[#This Row],[Range stats]]&lt;=40,Aspects[[#This Row],[Loyauté]]="Loyal")),1,0)</f>
        <v>1</v>
      </c>
      <c r="W7" s="9"/>
    </row>
    <row r="8" spans="1:23" x14ac:dyDescent="0.25">
      <c r="A8" s="1" t="s">
        <v>51</v>
      </c>
      <c r="B8" s="16" t="str">
        <f>Aspects[[#This Row],[Phy min]] &amp; " - " &amp; Aspects[[#This Row],[Phy max]]</f>
        <v>8 - 20</v>
      </c>
      <c r="C8" s="13">
        <v>8</v>
      </c>
      <c r="D8" s="13">
        <v>20</v>
      </c>
      <c r="E8" s="16" t="str">
        <f>Aspects[[#This Row],[Men min]] &amp; " - " &amp; Aspects[[#This Row],[Men max]]</f>
        <v>8 - 20</v>
      </c>
      <c r="F8" s="13">
        <v>8</v>
      </c>
      <c r="G8" s="13">
        <v>20</v>
      </c>
      <c r="H8" s="16" t="str">
        <f>Aspects[[#This Row],[Cha min]] &amp; " - " &amp; Aspects[[#This Row],[Cha max]]</f>
        <v>5 - 18</v>
      </c>
      <c r="I8" s="13">
        <v>5</v>
      </c>
      <c r="J8" s="13">
        <v>18</v>
      </c>
      <c r="K8" s="14">
        <f>Aspects[[#This Row],[Phy min]]+Aspects[[#This Row],[Men min]]+Aspects[[#This Row],[Cha min]]</f>
        <v>21</v>
      </c>
      <c r="L8" s="14">
        <f>Aspects[[#This Row],[Phy max]]+Aspects[[#This Row],[Men max]]+Aspects[[#This Row],[Cha max]]</f>
        <v>58</v>
      </c>
      <c r="M8" s="14">
        <f>MAX(Aspects[[#This Row],[Max stats]]-Aspects[[#This Row],[Min stats]],0)</f>
        <v>37</v>
      </c>
      <c r="N8" s="12">
        <f>ROUNDUP(AVERAGE(Aspects[[#This Row],[Phy min]:[Phy max]])*WPHYSIC+AVERAGE(Aspects[[#This Row],[Men min]:[Men max]])*WMENTAL+AVERAGE(Aspects[[#This Row],[Cha min]:[Cha max]])*WCHARAC,0)</f>
        <v>9</v>
      </c>
      <c r="O8" s="2" t="s">
        <v>40</v>
      </c>
      <c r="P8" s="1" t="s">
        <v>9</v>
      </c>
      <c r="Q8" s="10" t="str">
        <f>IFERROR(VLOOKUP(Aspects[[#This Row],[Alignement]],Alignement[],2,FALSE),"")</f>
        <v>Neutre</v>
      </c>
      <c r="R8" s="10" t="str">
        <f>IFERROR(VLOOKUP(Aspects[[#This Row],[Alignement]],Alignement[],3,FALSE),"")</f>
        <v>Loyal</v>
      </c>
      <c r="S8" s="8">
        <f>IF(Aspects[[#This Row],[Men min]]&lt;8,0,1)</f>
        <v>1</v>
      </c>
      <c r="T8" s="8">
        <f>IF(OR(AND(Aspects[[#This Row],[Min stats]]&lt;=35,Aspects[[#This Row],[Loyauté]]&lt;&gt;"Loyal"),AND(Aspects[[#This Row],[Min stats]]&lt;=25,Aspects[[#This Row],[Loyauté]]="Loyal")),1,0)</f>
        <v>1</v>
      </c>
      <c r="U8" s="8">
        <f>IF(Aspects[[#This Row],[Max stats]]&gt;=43,1,0)</f>
        <v>1</v>
      </c>
      <c r="V8" s="8">
        <f>IF(OR(AND(Aspects[[#This Row],[Range stats]]&gt;=15,Aspects[[#This Row],[Range stats]]&lt;=27,Aspects[[#This Row],[Loyauté]]&lt;&gt;"Loyal"),AND(Aspects[[#This Row],[Range stats]]&gt;=27,Aspects[[#This Row],[Range stats]]&lt;=40,Aspects[[#This Row],[Loyauté]]="Loyal")),1,0)</f>
        <v>1</v>
      </c>
      <c r="W8" s="9"/>
    </row>
    <row r="9" spans="1:23" x14ac:dyDescent="0.25">
      <c r="A9" s="1" t="s">
        <v>78</v>
      </c>
      <c r="B9" s="16" t="str">
        <f>Aspects[[#This Row],[Phy min]] &amp; " - " &amp; Aspects[[#This Row],[Phy max]]</f>
        <v>10 - 18</v>
      </c>
      <c r="C9" s="13">
        <v>10</v>
      </c>
      <c r="D9" s="13">
        <v>18</v>
      </c>
      <c r="E9" s="16" t="str">
        <f>Aspects[[#This Row],[Men min]] &amp; " - " &amp; Aspects[[#This Row],[Men max]]</f>
        <v>0 - 10</v>
      </c>
      <c r="F9" s="13">
        <v>0</v>
      </c>
      <c r="G9" s="13">
        <v>10</v>
      </c>
      <c r="H9" s="16" t="str">
        <f>Aspects[[#This Row],[Cha min]] &amp; " - " &amp; Aspects[[#This Row],[Cha max]]</f>
        <v>15 - 20</v>
      </c>
      <c r="I9" s="13">
        <v>15</v>
      </c>
      <c r="J9" s="13">
        <v>20</v>
      </c>
      <c r="K9" s="14">
        <f>Aspects[[#This Row],[Phy min]]+Aspects[[#This Row],[Men min]]+Aspects[[#This Row],[Cha min]]</f>
        <v>25</v>
      </c>
      <c r="L9" s="14">
        <f>Aspects[[#This Row],[Phy max]]+Aspects[[#This Row],[Men max]]+Aspects[[#This Row],[Cha max]]</f>
        <v>48</v>
      </c>
      <c r="M9" s="14">
        <f>MAX(Aspects[[#This Row],[Max stats]]-Aspects[[#This Row],[Min stats]],0)</f>
        <v>23</v>
      </c>
      <c r="N9" s="12">
        <f>ROUNDUP(AVERAGE(Aspects[[#This Row],[Phy min]:[Phy max]])*WPHYSIC+AVERAGE(Aspects[[#This Row],[Men min]:[Men max]])*WMENTAL+AVERAGE(Aspects[[#This Row],[Cha min]:[Cha max]])*WCHARAC,0)</f>
        <v>9</v>
      </c>
      <c r="O9" s="2" t="s">
        <v>42</v>
      </c>
      <c r="P9" s="1" t="s">
        <v>0</v>
      </c>
      <c r="Q9" s="10" t="str">
        <f>IFERROR(VLOOKUP(Aspects[[#This Row],[Alignement]],Alignement[],2,FALSE),"")</f>
        <v>Mauvais</v>
      </c>
      <c r="R9" s="10" t="str">
        <f>IFERROR(VLOOKUP(Aspects[[#This Row],[Alignement]],Alignement[],3,FALSE),"")</f>
        <v>Neutre</v>
      </c>
      <c r="S9" s="8">
        <f>IF(Aspects[[#This Row],[Men min]]&lt;8,0,1)</f>
        <v>0</v>
      </c>
      <c r="T9" s="8">
        <f>IF(OR(AND(Aspects[[#This Row],[Min stats]]&lt;=35,Aspects[[#This Row],[Loyauté]]&lt;&gt;"Loyal"),AND(Aspects[[#This Row],[Min stats]]&lt;=25,Aspects[[#This Row],[Loyauté]]="Loyal")),1,0)</f>
        <v>1</v>
      </c>
      <c r="U9" s="8">
        <f>IF(Aspects[[#This Row],[Max stats]]&gt;=43,1,0)</f>
        <v>1</v>
      </c>
      <c r="V9" s="8">
        <f>IF(OR(AND(Aspects[[#This Row],[Range stats]]&gt;=15,Aspects[[#This Row],[Range stats]]&lt;=27,Aspects[[#This Row],[Loyauté]]&lt;&gt;"Loyal"),AND(Aspects[[#This Row],[Range stats]]&gt;=27,Aspects[[#This Row],[Range stats]]&lt;=40,Aspects[[#This Row],[Loyauté]]="Loyal")),1,0)</f>
        <v>1</v>
      </c>
      <c r="W9" s="9"/>
    </row>
    <row r="10" spans="1:23" x14ac:dyDescent="0.25">
      <c r="A10" s="1" t="s">
        <v>26</v>
      </c>
      <c r="B10" s="16" t="str">
        <f>Aspects[[#This Row],[Phy min]] &amp; " - " &amp; Aspects[[#This Row],[Phy max]]</f>
        <v>12 - 22</v>
      </c>
      <c r="C10" s="13">
        <v>12</v>
      </c>
      <c r="D10" s="13">
        <v>22</v>
      </c>
      <c r="E10" s="16" t="str">
        <f>Aspects[[#This Row],[Men min]] &amp; " - " &amp; Aspects[[#This Row],[Men max]]</f>
        <v>8 - 15</v>
      </c>
      <c r="F10" s="13">
        <v>8</v>
      </c>
      <c r="G10" s="13">
        <v>15</v>
      </c>
      <c r="H10" s="16" t="str">
        <f>Aspects[[#This Row],[Cha min]] &amp; " - " &amp; Aspects[[#This Row],[Cha max]]</f>
        <v>12 - 20</v>
      </c>
      <c r="I10" s="13">
        <v>12</v>
      </c>
      <c r="J10" s="13">
        <v>20</v>
      </c>
      <c r="K10" s="14">
        <f>Aspects[[#This Row],[Phy min]]+Aspects[[#This Row],[Men min]]+Aspects[[#This Row],[Cha min]]</f>
        <v>32</v>
      </c>
      <c r="L10" s="14">
        <f>Aspects[[#This Row],[Phy max]]+Aspects[[#This Row],[Men max]]+Aspects[[#This Row],[Cha max]]</f>
        <v>57</v>
      </c>
      <c r="M10" s="14">
        <f>MAX(Aspects[[#This Row],[Max stats]]-Aspects[[#This Row],[Min stats]],0)</f>
        <v>25</v>
      </c>
      <c r="N10" s="12">
        <f>ROUNDUP(AVERAGE(Aspects[[#This Row],[Phy min]:[Phy max]])*WPHYSIC+AVERAGE(Aspects[[#This Row],[Men min]:[Men max]])*WMENTAL+AVERAGE(Aspects[[#This Row],[Cha min]:[Cha max]])*WCHARAC,0)</f>
        <v>10</v>
      </c>
      <c r="O10" s="2" t="s">
        <v>38</v>
      </c>
      <c r="P10" s="1" t="s">
        <v>0</v>
      </c>
      <c r="Q10" s="10" t="str">
        <f>IFERROR(VLOOKUP(Aspects[[#This Row],[Alignement]],Alignement[],2,FALSE),"")</f>
        <v>Mauvais</v>
      </c>
      <c r="R10" s="10" t="str">
        <f>IFERROR(VLOOKUP(Aspects[[#This Row],[Alignement]],Alignement[],3,FALSE),"")</f>
        <v>Neutre</v>
      </c>
      <c r="S10" s="8">
        <f>IF(Aspects[[#This Row],[Men min]]&lt;8,0,1)</f>
        <v>1</v>
      </c>
      <c r="T10" s="8">
        <f>IF(OR(AND(Aspects[[#This Row],[Min stats]]&lt;=35,Aspects[[#This Row],[Loyauté]]&lt;&gt;"Loyal"),AND(Aspects[[#This Row],[Min stats]]&lt;=25,Aspects[[#This Row],[Loyauté]]="Loyal")),1,0)</f>
        <v>1</v>
      </c>
      <c r="U10" s="8">
        <f>IF(Aspects[[#This Row],[Max stats]]&gt;=43,1,0)</f>
        <v>1</v>
      </c>
      <c r="V10" s="8">
        <f>IF(OR(AND(Aspects[[#This Row],[Range stats]]&gt;=15,Aspects[[#This Row],[Range stats]]&lt;=27,Aspects[[#This Row],[Loyauté]]&lt;&gt;"Loyal"),AND(Aspects[[#This Row],[Range stats]]&gt;=27,Aspects[[#This Row],[Range stats]]&lt;=40,Aspects[[#This Row],[Loyauté]]="Loyal")),1,0)</f>
        <v>1</v>
      </c>
      <c r="W10" s="9"/>
    </row>
    <row r="11" spans="1:23" x14ac:dyDescent="0.25">
      <c r="A11" s="1" t="s">
        <v>66</v>
      </c>
      <c r="B11" s="16" t="str">
        <f>Aspects[[#This Row],[Phy min]] &amp; " - " &amp; Aspects[[#This Row],[Phy max]]</f>
        <v>12 - 20</v>
      </c>
      <c r="C11" s="13">
        <v>12</v>
      </c>
      <c r="D11" s="13">
        <v>20</v>
      </c>
      <c r="E11" s="16" t="str">
        <f>Aspects[[#This Row],[Men min]] &amp; " - " &amp; Aspects[[#This Row],[Men max]]</f>
        <v>8 - 12</v>
      </c>
      <c r="F11" s="13">
        <v>8</v>
      </c>
      <c r="G11" s="13">
        <v>12</v>
      </c>
      <c r="H11" s="16" t="str">
        <f>Aspects[[#This Row],[Cha min]] &amp; " - " &amp; Aspects[[#This Row],[Cha max]]</f>
        <v>15 - 20</v>
      </c>
      <c r="I11" s="13">
        <v>15</v>
      </c>
      <c r="J11" s="13">
        <v>20</v>
      </c>
      <c r="K11" s="14">
        <f>Aspects[[#This Row],[Phy min]]+Aspects[[#This Row],[Men min]]+Aspects[[#This Row],[Cha min]]</f>
        <v>35</v>
      </c>
      <c r="L11" s="14">
        <f>Aspects[[#This Row],[Phy max]]+Aspects[[#This Row],[Men max]]+Aspects[[#This Row],[Cha max]]</f>
        <v>52</v>
      </c>
      <c r="M11" s="14">
        <f>MAX(Aspects[[#This Row],[Max stats]]-Aspects[[#This Row],[Min stats]],0)</f>
        <v>17</v>
      </c>
      <c r="N11" s="12">
        <f>ROUNDUP(AVERAGE(Aspects[[#This Row],[Phy min]:[Phy max]])*WPHYSIC+AVERAGE(Aspects[[#This Row],[Men min]:[Men max]])*WMENTAL+AVERAGE(Aspects[[#This Row],[Cha min]:[Cha max]])*WCHARAC,0)</f>
        <v>10</v>
      </c>
      <c r="O11" s="2" t="s">
        <v>43</v>
      </c>
      <c r="P11" s="1" t="s">
        <v>7</v>
      </c>
      <c r="Q11" s="10" t="str">
        <f>IFERROR(VLOOKUP(Aspects[[#This Row],[Alignement]],Alignement[],2,FALSE),"")</f>
        <v>Bon</v>
      </c>
      <c r="R11" s="10" t="str">
        <f>IFERROR(VLOOKUP(Aspects[[#This Row],[Alignement]],Alignement[],3,FALSE),"")</f>
        <v>Neutre</v>
      </c>
      <c r="S11" s="8">
        <f>IF(Aspects[[#This Row],[Men min]]&lt;8,0,1)</f>
        <v>1</v>
      </c>
      <c r="T11" s="8">
        <f>IF(OR(AND(Aspects[[#This Row],[Min stats]]&lt;=35,Aspects[[#This Row],[Loyauté]]&lt;&gt;"Loyal"),AND(Aspects[[#This Row],[Min stats]]&lt;=25,Aspects[[#This Row],[Loyauté]]="Loyal")),1,0)</f>
        <v>1</v>
      </c>
      <c r="U11" s="8">
        <f>IF(Aspects[[#This Row],[Max stats]]&gt;=43,1,0)</f>
        <v>1</v>
      </c>
      <c r="V11" s="8">
        <f>IF(OR(AND(Aspects[[#This Row],[Range stats]]&gt;=15,Aspects[[#This Row],[Range stats]]&lt;=27,Aspects[[#This Row],[Loyauté]]&lt;&gt;"Loyal"),AND(Aspects[[#This Row],[Range stats]]&gt;=27,Aspects[[#This Row],[Range stats]]&lt;=40,Aspects[[#This Row],[Loyauté]]="Loyal")),1,0)</f>
        <v>1</v>
      </c>
      <c r="W11" s="9"/>
    </row>
    <row r="12" spans="1:23" x14ac:dyDescent="0.25">
      <c r="A12" s="1" t="s">
        <v>53</v>
      </c>
      <c r="B12" s="16" t="str">
        <f>Aspects[[#This Row],[Phy min]] &amp; " - " &amp; Aspects[[#This Row],[Phy max]]</f>
        <v>12 - 22</v>
      </c>
      <c r="C12" s="13">
        <v>12</v>
      </c>
      <c r="D12" s="13">
        <v>22</v>
      </c>
      <c r="E12" s="16" t="str">
        <f>Aspects[[#This Row],[Men min]] &amp; " - " &amp; Aspects[[#This Row],[Men max]]</f>
        <v>12 - 20</v>
      </c>
      <c r="F12" s="13">
        <v>12</v>
      </c>
      <c r="G12" s="13">
        <v>20</v>
      </c>
      <c r="H12" s="16" t="str">
        <f>Aspects[[#This Row],[Cha min]] &amp; " - " &amp; Aspects[[#This Row],[Cha max]]</f>
        <v>3 - 10</v>
      </c>
      <c r="I12" s="13">
        <v>3</v>
      </c>
      <c r="J12" s="13">
        <v>10</v>
      </c>
      <c r="K12" s="14">
        <f>Aspects[[#This Row],[Phy min]]+Aspects[[#This Row],[Men min]]+Aspects[[#This Row],[Cha min]]</f>
        <v>27</v>
      </c>
      <c r="L12" s="14">
        <f>Aspects[[#This Row],[Phy max]]+Aspects[[#This Row],[Men max]]+Aspects[[#This Row],[Cha max]]</f>
        <v>52</v>
      </c>
      <c r="M12" s="14">
        <f>MAX(Aspects[[#This Row],[Max stats]]-Aspects[[#This Row],[Min stats]],0)</f>
        <v>25</v>
      </c>
      <c r="N12" s="12">
        <f>ROUNDUP(AVERAGE(Aspects[[#This Row],[Phy min]:[Phy max]])*WPHYSIC+AVERAGE(Aspects[[#This Row],[Men min]:[Men max]])*WMENTAL+AVERAGE(Aspects[[#This Row],[Cha min]:[Cha max]])*WCHARAC,0)</f>
        <v>8</v>
      </c>
      <c r="O12" s="2" t="s">
        <v>38</v>
      </c>
      <c r="P12" s="1" t="s">
        <v>5</v>
      </c>
      <c r="Q12" s="10" t="str">
        <f>IFERROR(VLOOKUP(Aspects[[#This Row],[Alignement]],Alignement[],2,FALSE),"")</f>
        <v>Neutre</v>
      </c>
      <c r="R12" s="10" t="str">
        <f>IFERROR(VLOOKUP(Aspects[[#This Row],[Alignement]],Alignement[],3,FALSE),"")</f>
        <v>Neutre</v>
      </c>
      <c r="S12" s="8">
        <f>IF(Aspects[[#This Row],[Men min]]&lt;8,0,1)</f>
        <v>1</v>
      </c>
      <c r="T12" s="8">
        <f>IF(OR(AND(Aspects[[#This Row],[Min stats]]&lt;=35,Aspects[[#This Row],[Loyauté]]&lt;&gt;"Loyal"),AND(Aspects[[#This Row],[Min stats]]&lt;=25,Aspects[[#This Row],[Loyauté]]="Loyal")),1,0)</f>
        <v>1</v>
      </c>
      <c r="U12" s="8">
        <f>IF(Aspects[[#This Row],[Max stats]]&gt;=43,1,0)</f>
        <v>1</v>
      </c>
      <c r="V12" s="8">
        <f>IF(OR(AND(Aspects[[#This Row],[Range stats]]&gt;=15,Aspects[[#This Row],[Range stats]]&lt;=27,Aspects[[#This Row],[Loyauté]]&lt;&gt;"Loyal"),AND(Aspects[[#This Row],[Range stats]]&gt;=27,Aspects[[#This Row],[Range stats]]&lt;=40,Aspects[[#This Row],[Loyauté]]="Loyal")),1,0)</f>
        <v>1</v>
      </c>
      <c r="W12" s="9"/>
    </row>
    <row r="13" spans="1:23" x14ac:dyDescent="0.25">
      <c r="A13" s="1" t="s">
        <v>22</v>
      </c>
      <c r="B13" s="16" t="str">
        <f>Aspects[[#This Row],[Phy min]] &amp; " - " &amp; Aspects[[#This Row],[Phy max]]</f>
        <v>8 - 20</v>
      </c>
      <c r="C13" s="13">
        <v>8</v>
      </c>
      <c r="D13" s="13">
        <v>20</v>
      </c>
      <c r="E13" s="16" t="str">
        <f>Aspects[[#This Row],[Men min]] &amp; " - " &amp; Aspects[[#This Row],[Men max]]</f>
        <v>3 - 15</v>
      </c>
      <c r="F13" s="13">
        <v>3</v>
      </c>
      <c r="G13" s="13">
        <v>15</v>
      </c>
      <c r="H13" s="16" t="str">
        <f>Aspects[[#This Row],[Cha min]] &amp; " - " &amp; Aspects[[#This Row],[Cha max]]</f>
        <v>10 - 20</v>
      </c>
      <c r="I13" s="13">
        <v>10</v>
      </c>
      <c r="J13" s="13">
        <v>20</v>
      </c>
      <c r="K13" s="14">
        <f>Aspects[[#This Row],[Phy min]]+Aspects[[#This Row],[Men min]]+Aspects[[#This Row],[Cha min]]</f>
        <v>21</v>
      </c>
      <c r="L13" s="14">
        <f>Aspects[[#This Row],[Phy max]]+Aspects[[#This Row],[Men max]]+Aspects[[#This Row],[Cha max]]</f>
        <v>55</v>
      </c>
      <c r="M13" s="14">
        <f>MAX(Aspects[[#This Row],[Max stats]]-Aspects[[#This Row],[Min stats]],0)</f>
        <v>34</v>
      </c>
      <c r="N13" s="12">
        <f>ROUNDUP(AVERAGE(Aspects[[#This Row],[Phy min]:[Phy max]])*WPHYSIC+AVERAGE(Aspects[[#This Row],[Men min]:[Men max]])*WMENTAL+AVERAGE(Aspects[[#This Row],[Cha min]:[Cha max]])*WCHARAC,0)</f>
        <v>9</v>
      </c>
      <c r="O13" s="2" t="s">
        <v>43</v>
      </c>
      <c r="P13" s="1" t="s">
        <v>11</v>
      </c>
      <c r="Q13" s="10" t="str">
        <f>IFERROR(VLOOKUP(Aspects[[#This Row],[Alignement]],Alignement[],2,FALSE),"")</f>
        <v>Mauvais</v>
      </c>
      <c r="R13" s="10" t="str">
        <f>IFERROR(VLOOKUP(Aspects[[#This Row],[Alignement]],Alignement[],3,FALSE),"")</f>
        <v>Loyal</v>
      </c>
      <c r="S13" s="8">
        <f>IF(Aspects[[#This Row],[Men min]]&lt;8,0,1)</f>
        <v>0</v>
      </c>
      <c r="T13" s="8">
        <f>IF(OR(AND(Aspects[[#This Row],[Min stats]]&lt;=35,Aspects[[#This Row],[Loyauté]]&lt;&gt;"Loyal"),AND(Aspects[[#This Row],[Min stats]]&lt;=25,Aspects[[#This Row],[Loyauté]]="Loyal")),1,0)</f>
        <v>1</v>
      </c>
      <c r="U13" s="8">
        <f>IF(Aspects[[#This Row],[Max stats]]&gt;=43,1,0)</f>
        <v>1</v>
      </c>
      <c r="V13" s="8">
        <f>IF(OR(AND(Aspects[[#This Row],[Range stats]]&gt;=15,Aspects[[#This Row],[Range stats]]&lt;=27,Aspects[[#This Row],[Loyauté]]&lt;&gt;"Loyal"),AND(Aspects[[#This Row],[Range stats]]&gt;=27,Aspects[[#This Row],[Range stats]]&lt;=40,Aspects[[#This Row],[Loyauté]]="Loyal")),1,0)</f>
        <v>1</v>
      </c>
      <c r="W13" s="9"/>
    </row>
    <row r="14" spans="1:23" x14ac:dyDescent="0.25">
      <c r="A14" s="1" t="s">
        <v>17</v>
      </c>
      <c r="B14" s="16" t="str">
        <f>Aspects[[#This Row],[Phy min]] &amp; " - " &amp; Aspects[[#This Row],[Phy max]]</f>
        <v>10 - 18</v>
      </c>
      <c r="C14" s="13">
        <v>10</v>
      </c>
      <c r="D14" s="13">
        <v>18</v>
      </c>
      <c r="E14" s="16" t="str">
        <f>Aspects[[#This Row],[Men min]] &amp; " - " &amp; Aspects[[#This Row],[Men max]]</f>
        <v>10 - 18</v>
      </c>
      <c r="F14" s="13">
        <v>10</v>
      </c>
      <c r="G14" s="13">
        <v>18</v>
      </c>
      <c r="H14" s="16" t="str">
        <f>Aspects[[#This Row],[Cha min]] &amp; " - " &amp; Aspects[[#This Row],[Cha max]]</f>
        <v>12 - 20</v>
      </c>
      <c r="I14" s="13">
        <v>12</v>
      </c>
      <c r="J14" s="13">
        <v>20</v>
      </c>
      <c r="K14" s="14">
        <f>Aspects[[#This Row],[Phy min]]+Aspects[[#This Row],[Men min]]+Aspects[[#This Row],[Cha min]]</f>
        <v>32</v>
      </c>
      <c r="L14" s="14">
        <f>Aspects[[#This Row],[Phy max]]+Aspects[[#This Row],[Men max]]+Aspects[[#This Row],[Cha max]]</f>
        <v>56</v>
      </c>
      <c r="M14" s="14">
        <f>MAX(Aspects[[#This Row],[Max stats]]-Aspects[[#This Row],[Min stats]],0)</f>
        <v>24</v>
      </c>
      <c r="N14" s="12">
        <f>ROUNDUP(AVERAGE(Aspects[[#This Row],[Phy min]:[Phy max]])*WPHYSIC+AVERAGE(Aspects[[#This Row],[Men min]:[Men max]])*WMENTAL+AVERAGE(Aspects[[#This Row],[Cha min]:[Cha max]])*WCHARAC,0)</f>
        <v>10</v>
      </c>
      <c r="O14" s="2" t="s">
        <v>42</v>
      </c>
      <c r="P14" s="1" t="s">
        <v>5</v>
      </c>
      <c r="Q14" s="10" t="str">
        <f>IFERROR(VLOOKUP(Aspects[[#This Row],[Alignement]],Alignement[],2,FALSE),"")</f>
        <v>Neutre</v>
      </c>
      <c r="R14" s="10" t="str">
        <f>IFERROR(VLOOKUP(Aspects[[#This Row],[Alignement]],Alignement[],3,FALSE),"")</f>
        <v>Neutre</v>
      </c>
      <c r="S14" s="8">
        <f>IF(Aspects[[#This Row],[Men min]]&lt;8,0,1)</f>
        <v>1</v>
      </c>
      <c r="T14" s="8">
        <f>IF(OR(AND(Aspects[[#This Row],[Min stats]]&lt;=35,Aspects[[#This Row],[Loyauté]]&lt;&gt;"Loyal"),AND(Aspects[[#This Row],[Min stats]]&lt;=25,Aspects[[#This Row],[Loyauté]]="Loyal")),1,0)</f>
        <v>1</v>
      </c>
      <c r="U14" s="8">
        <f>IF(Aspects[[#This Row],[Max stats]]&gt;=43,1,0)</f>
        <v>1</v>
      </c>
      <c r="V14" s="8">
        <f>IF(OR(AND(Aspects[[#This Row],[Range stats]]&gt;=15,Aspects[[#This Row],[Range stats]]&lt;=27,Aspects[[#This Row],[Loyauté]]&lt;&gt;"Loyal"),AND(Aspects[[#This Row],[Range stats]]&gt;=27,Aspects[[#This Row],[Range stats]]&lt;=40,Aspects[[#This Row],[Loyauté]]="Loyal")),1,0)</f>
        <v>1</v>
      </c>
      <c r="W14" s="9"/>
    </row>
    <row r="15" spans="1:23" x14ac:dyDescent="0.25">
      <c r="A15" s="1" t="s">
        <v>62</v>
      </c>
      <c r="B15" s="16" t="str">
        <f>Aspects[[#This Row],[Phy min]] &amp; " - " &amp; Aspects[[#This Row],[Phy max]]</f>
        <v>18 - 28</v>
      </c>
      <c r="C15" s="13">
        <v>18</v>
      </c>
      <c r="D15" s="13">
        <v>28</v>
      </c>
      <c r="E15" s="16" t="str">
        <f>Aspects[[#This Row],[Men min]] &amp; " - " &amp; Aspects[[#This Row],[Men max]]</f>
        <v>3 - 10</v>
      </c>
      <c r="F15" s="13">
        <v>3</v>
      </c>
      <c r="G15" s="13">
        <v>10</v>
      </c>
      <c r="H15" s="16" t="str">
        <f>Aspects[[#This Row],[Cha min]] &amp; " - " &amp; Aspects[[#This Row],[Cha max]]</f>
        <v>12 - 20</v>
      </c>
      <c r="I15" s="13">
        <v>12</v>
      </c>
      <c r="J15" s="13">
        <v>20</v>
      </c>
      <c r="K15" s="14">
        <f>Aspects[[#This Row],[Phy min]]+Aspects[[#This Row],[Men min]]+Aspects[[#This Row],[Cha min]]</f>
        <v>33</v>
      </c>
      <c r="L15" s="14">
        <f>Aspects[[#This Row],[Phy max]]+Aspects[[#This Row],[Men max]]+Aspects[[#This Row],[Cha max]]</f>
        <v>58</v>
      </c>
      <c r="M15" s="14">
        <f>MAX(Aspects[[#This Row],[Max stats]]-Aspects[[#This Row],[Min stats]],0)</f>
        <v>25</v>
      </c>
      <c r="N15" s="12">
        <f>ROUNDUP(AVERAGE(Aspects[[#This Row],[Phy min]:[Phy max]])*WPHYSIC+AVERAGE(Aspects[[#This Row],[Men min]:[Men max]])*WMENTAL+AVERAGE(Aspects[[#This Row],[Cha min]:[Cha max]])*WCHARAC,0)</f>
        <v>10</v>
      </c>
      <c r="O15" s="2" t="s">
        <v>39</v>
      </c>
      <c r="P15" s="1" t="s">
        <v>0</v>
      </c>
      <c r="Q15" s="10" t="str">
        <f>IFERROR(VLOOKUP(Aspects[[#This Row],[Alignement]],Alignement[],2,FALSE),"")</f>
        <v>Mauvais</v>
      </c>
      <c r="R15" s="10" t="str">
        <f>IFERROR(VLOOKUP(Aspects[[#This Row],[Alignement]],Alignement[],3,FALSE),"")</f>
        <v>Neutre</v>
      </c>
      <c r="S15" s="8">
        <f>IF(Aspects[[#This Row],[Men min]]&lt;8,0,1)</f>
        <v>0</v>
      </c>
      <c r="T15" s="8">
        <f>IF(OR(AND(Aspects[[#This Row],[Min stats]]&lt;=35,Aspects[[#This Row],[Loyauté]]&lt;&gt;"Loyal"),AND(Aspects[[#This Row],[Min stats]]&lt;=25,Aspects[[#This Row],[Loyauté]]="Loyal")),1,0)</f>
        <v>1</v>
      </c>
      <c r="U15" s="8">
        <f>IF(Aspects[[#This Row],[Max stats]]&gt;=43,1,0)</f>
        <v>1</v>
      </c>
      <c r="V15" s="8">
        <f>IF(OR(AND(Aspects[[#This Row],[Range stats]]&gt;=15,Aspects[[#This Row],[Range stats]]&lt;=27,Aspects[[#This Row],[Loyauté]]&lt;&gt;"Loyal"),AND(Aspects[[#This Row],[Range stats]]&gt;=27,Aspects[[#This Row],[Range stats]]&lt;=40,Aspects[[#This Row],[Loyauté]]="Loyal")),1,0)</f>
        <v>1</v>
      </c>
      <c r="W15" s="9"/>
    </row>
    <row r="16" spans="1:23" x14ac:dyDescent="0.25">
      <c r="A16" s="1" t="s">
        <v>80</v>
      </c>
      <c r="B16" s="16" t="str">
        <f>Aspects[[#This Row],[Phy min]] &amp; " - " &amp; Aspects[[#This Row],[Phy max]]</f>
        <v>3 - 18</v>
      </c>
      <c r="C16" s="13">
        <v>3</v>
      </c>
      <c r="D16" s="13">
        <v>18</v>
      </c>
      <c r="E16" s="16" t="str">
        <f>Aspects[[#This Row],[Men min]] &amp; " - " &amp; Aspects[[#This Row],[Men max]]</f>
        <v>12 - 20</v>
      </c>
      <c r="F16" s="13">
        <v>12</v>
      </c>
      <c r="G16" s="13">
        <v>20</v>
      </c>
      <c r="H16" s="16" t="str">
        <f>Aspects[[#This Row],[Cha min]] &amp; " - " &amp; Aspects[[#This Row],[Cha max]]</f>
        <v>10 - 20</v>
      </c>
      <c r="I16" s="13">
        <v>10</v>
      </c>
      <c r="J16" s="13">
        <v>20</v>
      </c>
      <c r="K16" s="14">
        <f>Aspects[[#This Row],[Phy min]]+Aspects[[#This Row],[Men min]]+Aspects[[#This Row],[Cha min]]</f>
        <v>25</v>
      </c>
      <c r="L16" s="14">
        <f>Aspects[[#This Row],[Phy max]]+Aspects[[#This Row],[Men max]]+Aspects[[#This Row],[Cha max]]</f>
        <v>58</v>
      </c>
      <c r="M16" s="14">
        <f>MAX(Aspects[[#This Row],[Max stats]]-Aspects[[#This Row],[Min stats]],0)</f>
        <v>33</v>
      </c>
      <c r="N16" s="12">
        <f>ROUNDUP(AVERAGE(Aspects[[#This Row],[Phy min]:[Phy max]])*WPHYSIC+AVERAGE(Aspects[[#This Row],[Men min]:[Men max]])*WMENTAL+AVERAGE(Aspects[[#This Row],[Cha min]:[Cha max]])*WCHARAC,0)</f>
        <v>10</v>
      </c>
      <c r="O16" s="2" t="s">
        <v>41</v>
      </c>
      <c r="P16" s="1" t="s">
        <v>10</v>
      </c>
      <c r="Q16" s="10" t="str">
        <f>IFERROR(VLOOKUP(Aspects[[#This Row],[Alignement]],Alignement[],2,FALSE),"")</f>
        <v>Bon</v>
      </c>
      <c r="R16" s="10" t="str">
        <f>IFERROR(VLOOKUP(Aspects[[#This Row],[Alignement]],Alignement[],3,FALSE),"")</f>
        <v>Loyal</v>
      </c>
      <c r="S16" s="8">
        <f>IF(Aspects[[#This Row],[Men min]]&lt;8,0,1)</f>
        <v>1</v>
      </c>
      <c r="T16" s="8">
        <f>IF(OR(AND(Aspects[[#This Row],[Min stats]]&lt;=35,Aspects[[#This Row],[Loyauté]]&lt;&gt;"Loyal"),AND(Aspects[[#This Row],[Min stats]]&lt;=25,Aspects[[#This Row],[Loyauté]]="Loyal")),1,0)</f>
        <v>1</v>
      </c>
      <c r="U16" s="8">
        <f>IF(Aspects[[#This Row],[Max stats]]&gt;=43,1,0)</f>
        <v>1</v>
      </c>
      <c r="V16" s="8">
        <f>IF(OR(AND(Aspects[[#This Row],[Range stats]]&gt;=15,Aspects[[#This Row],[Range stats]]&lt;=27,Aspects[[#This Row],[Loyauté]]&lt;&gt;"Loyal"),AND(Aspects[[#This Row],[Range stats]]&gt;=27,Aspects[[#This Row],[Range stats]]&lt;=40,Aspects[[#This Row],[Loyauté]]="Loyal")),1,0)</f>
        <v>1</v>
      </c>
      <c r="W16" s="9"/>
    </row>
    <row r="17" spans="1:23" x14ac:dyDescent="0.25">
      <c r="A17" s="1" t="s">
        <v>23</v>
      </c>
      <c r="B17" s="16" t="str">
        <f>Aspects[[#This Row],[Phy min]] &amp; " - " &amp; Aspects[[#This Row],[Phy max]]</f>
        <v>6 - 15</v>
      </c>
      <c r="C17" s="13">
        <v>6</v>
      </c>
      <c r="D17" s="13">
        <v>15</v>
      </c>
      <c r="E17" s="16" t="str">
        <f>Aspects[[#This Row],[Men min]] &amp; " - " &amp; Aspects[[#This Row],[Men max]]</f>
        <v>10 - 18</v>
      </c>
      <c r="F17" s="13">
        <v>10</v>
      </c>
      <c r="G17" s="13">
        <v>18</v>
      </c>
      <c r="H17" s="16" t="str">
        <f>Aspects[[#This Row],[Cha min]] &amp; " - " &amp; Aspects[[#This Row],[Cha max]]</f>
        <v>15 - 20</v>
      </c>
      <c r="I17" s="13">
        <v>15</v>
      </c>
      <c r="J17" s="13">
        <v>20</v>
      </c>
      <c r="K17" s="14">
        <f>Aspects[[#This Row],[Phy min]]+Aspects[[#This Row],[Men min]]+Aspects[[#This Row],[Cha min]]</f>
        <v>31</v>
      </c>
      <c r="L17" s="14">
        <f>Aspects[[#This Row],[Phy max]]+Aspects[[#This Row],[Men max]]+Aspects[[#This Row],[Cha max]]</f>
        <v>53</v>
      </c>
      <c r="M17" s="14">
        <f>MAX(Aspects[[#This Row],[Max stats]]-Aspects[[#This Row],[Min stats]],0)</f>
        <v>22</v>
      </c>
      <c r="N17" s="12">
        <f>ROUNDUP(AVERAGE(Aspects[[#This Row],[Phy min]:[Phy max]])*WPHYSIC+AVERAGE(Aspects[[#This Row],[Men min]:[Men max]])*WMENTAL+AVERAGE(Aspects[[#This Row],[Cha min]:[Cha max]])*WCHARAC,0)</f>
        <v>10</v>
      </c>
      <c r="O17" s="2" t="s">
        <v>43</v>
      </c>
      <c r="P17" s="1" t="s">
        <v>0</v>
      </c>
      <c r="Q17" s="10" t="str">
        <f>IFERROR(VLOOKUP(Aspects[[#This Row],[Alignement]],Alignement[],2,FALSE),"")</f>
        <v>Mauvais</v>
      </c>
      <c r="R17" s="10" t="str">
        <f>IFERROR(VLOOKUP(Aspects[[#This Row],[Alignement]],Alignement[],3,FALSE),"")</f>
        <v>Neutre</v>
      </c>
      <c r="S17" s="8">
        <f>IF(Aspects[[#This Row],[Men min]]&lt;8,0,1)</f>
        <v>1</v>
      </c>
      <c r="T17" s="8">
        <f>IF(OR(AND(Aspects[[#This Row],[Min stats]]&lt;=35,Aspects[[#This Row],[Loyauté]]&lt;&gt;"Loyal"),AND(Aspects[[#This Row],[Min stats]]&lt;=25,Aspects[[#This Row],[Loyauté]]="Loyal")),1,0)</f>
        <v>1</v>
      </c>
      <c r="U17" s="8">
        <f>IF(Aspects[[#This Row],[Max stats]]&gt;=43,1,0)</f>
        <v>1</v>
      </c>
      <c r="V17" s="8">
        <f>IF(OR(AND(Aspects[[#This Row],[Range stats]]&gt;=15,Aspects[[#This Row],[Range stats]]&lt;=27,Aspects[[#This Row],[Loyauté]]&lt;&gt;"Loyal"),AND(Aspects[[#This Row],[Range stats]]&gt;=27,Aspects[[#This Row],[Range stats]]&lt;=40,Aspects[[#This Row],[Loyauté]]="Loyal")),1,0)</f>
        <v>1</v>
      </c>
      <c r="W17" s="9"/>
    </row>
    <row r="18" spans="1:23" x14ac:dyDescent="0.25">
      <c r="A18" s="1" t="s">
        <v>21</v>
      </c>
      <c r="B18" s="16" t="str">
        <f>Aspects[[#This Row],[Phy min]] &amp; " - " &amp; Aspects[[#This Row],[Phy max]]</f>
        <v>0 - 15</v>
      </c>
      <c r="C18" s="13">
        <v>0</v>
      </c>
      <c r="D18" s="13">
        <v>15</v>
      </c>
      <c r="E18" s="16" t="str">
        <f>Aspects[[#This Row],[Men min]] &amp; " - " &amp; Aspects[[#This Row],[Men max]]</f>
        <v>15 - 20</v>
      </c>
      <c r="F18" s="13">
        <v>15</v>
      </c>
      <c r="G18" s="13">
        <v>20</v>
      </c>
      <c r="H18" s="16" t="str">
        <f>Aspects[[#This Row],[Cha min]] &amp; " - " &amp; Aspects[[#This Row],[Cha max]]</f>
        <v>5 - 20</v>
      </c>
      <c r="I18" s="13">
        <v>5</v>
      </c>
      <c r="J18" s="13">
        <v>20</v>
      </c>
      <c r="K18" s="14">
        <f>Aspects[[#This Row],[Phy min]]+Aspects[[#This Row],[Men min]]+Aspects[[#This Row],[Cha min]]</f>
        <v>20</v>
      </c>
      <c r="L18" s="14">
        <f>Aspects[[#This Row],[Phy max]]+Aspects[[#This Row],[Men max]]+Aspects[[#This Row],[Cha max]]</f>
        <v>55</v>
      </c>
      <c r="M18" s="14">
        <f>MAX(Aspects[[#This Row],[Max stats]]-Aspects[[#This Row],[Min stats]],0)</f>
        <v>35</v>
      </c>
      <c r="N18" s="12">
        <f>ROUNDUP(AVERAGE(Aspects[[#This Row],[Phy min]:[Phy max]])*WPHYSIC+AVERAGE(Aspects[[#This Row],[Men min]:[Men max]])*WMENTAL+AVERAGE(Aspects[[#This Row],[Cha min]:[Cha max]])*WCHARAC,0)</f>
        <v>9</v>
      </c>
      <c r="O18" s="2" t="s">
        <v>40</v>
      </c>
      <c r="P18" s="1" t="s">
        <v>9</v>
      </c>
      <c r="Q18" s="10" t="str">
        <f>IFERROR(VLOOKUP(Aspects[[#This Row],[Alignement]],Alignement[],2,FALSE),"")</f>
        <v>Neutre</v>
      </c>
      <c r="R18" s="10" t="str">
        <f>IFERROR(VLOOKUP(Aspects[[#This Row],[Alignement]],Alignement[],3,FALSE),"")</f>
        <v>Loyal</v>
      </c>
      <c r="S18" s="8">
        <f>IF(Aspects[[#This Row],[Men min]]&lt;8,0,1)</f>
        <v>1</v>
      </c>
      <c r="T18" s="8">
        <f>IF(OR(AND(Aspects[[#This Row],[Min stats]]&lt;=35,Aspects[[#This Row],[Loyauté]]&lt;&gt;"Loyal"),AND(Aspects[[#This Row],[Min stats]]&lt;=25,Aspects[[#This Row],[Loyauté]]="Loyal")),1,0)</f>
        <v>1</v>
      </c>
      <c r="U18" s="8">
        <f>IF(Aspects[[#This Row],[Max stats]]&gt;=43,1,0)</f>
        <v>1</v>
      </c>
      <c r="V18" s="8">
        <f>IF(OR(AND(Aspects[[#This Row],[Range stats]]&gt;=15,Aspects[[#This Row],[Range stats]]&lt;=27,Aspects[[#This Row],[Loyauté]]&lt;&gt;"Loyal"),AND(Aspects[[#This Row],[Range stats]]&gt;=27,Aspects[[#This Row],[Range stats]]&lt;=40,Aspects[[#This Row],[Loyauté]]="Loyal")),1,0)</f>
        <v>1</v>
      </c>
      <c r="W18" s="9"/>
    </row>
    <row r="19" spans="1:23" x14ac:dyDescent="0.25">
      <c r="A19" s="1" t="s">
        <v>54</v>
      </c>
      <c r="B19" s="16" t="str">
        <f>Aspects[[#This Row],[Phy min]] &amp; " - " &amp; Aspects[[#This Row],[Phy max]]</f>
        <v>6 - 13</v>
      </c>
      <c r="C19" s="13">
        <v>6</v>
      </c>
      <c r="D19" s="13">
        <v>13</v>
      </c>
      <c r="E19" s="16" t="str">
        <f>Aspects[[#This Row],[Men min]] &amp; " - " &amp; Aspects[[#This Row],[Men max]]</f>
        <v>15 - 20</v>
      </c>
      <c r="F19" s="13">
        <v>15</v>
      </c>
      <c r="G19" s="13">
        <v>20</v>
      </c>
      <c r="H19" s="16" t="str">
        <f>Aspects[[#This Row],[Cha min]] &amp; " - " &amp; Aspects[[#This Row],[Cha max]]</f>
        <v>10 - 20</v>
      </c>
      <c r="I19" s="13">
        <v>10</v>
      </c>
      <c r="J19" s="13">
        <v>20</v>
      </c>
      <c r="K19" s="14">
        <f>Aspects[[#This Row],[Phy min]]+Aspects[[#This Row],[Men min]]+Aspects[[#This Row],[Cha min]]</f>
        <v>31</v>
      </c>
      <c r="L19" s="14">
        <f>Aspects[[#This Row],[Phy max]]+Aspects[[#This Row],[Men max]]+Aspects[[#This Row],[Cha max]]</f>
        <v>53</v>
      </c>
      <c r="M19" s="14">
        <f>MAX(Aspects[[#This Row],[Max stats]]-Aspects[[#This Row],[Min stats]],0)</f>
        <v>22</v>
      </c>
      <c r="N19" s="12">
        <f>ROUNDUP(AVERAGE(Aspects[[#This Row],[Phy min]:[Phy max]])*WPHYSIC+AVERAGE(Aspects[[#This Row],[Men min]:[Men max]])*WMENTAL+AVERAGE(Aspects[[#This Row],[Cha min]:[Cha max]])*WCHARAC,0)</f>
        <v>10</v>
      </c>
      <c r="O19" s="2" t="s">
        <v>40</v>
      </c>
      <c r="P19" s="1" t="s">
        <v>8</v>
      </c>
      <c r="Q19" s="10" t="str">
        <f>IFERROR(VLOOKUP(Aspects[[#This Row],[Alignement]],Alignement[],2,FALSE),"")</f>
        <v>Mauvais</v>
      </c>
      <c r="R19" s="10" t="str">
        <f>IFERROR(VLOOKUP(Aspects[[#This Row],[Alignement]],Alignement[],3,FALSE),"")</f>
        <v>Chaotique</v>
      </c>
      <c r="S19" s="8">
        <f>IF(Aspects[[#This Row],[Men min]]&lt;8,0,1)</f>
        <v>1</v>
      </c>
      <c r="T19" s="8">
        <f>IF(OR(AND(Aspects[[#This Row],[Min stats]]&lt;=35,Aspects[[#This Row],[Loyauté]]&lt;&gt;"Loyal"),AND(Aspects[[#This Row],[Min stats]]&lt;=25,Aspects[[#This Row],[Loyauté]]="Loyal")),1,0)</f>
        <v>1</v>
      </c>
      <c r="U19" s="8">
        <f>IF(Aspects[[#This Row],[Max stats]]&gt;=43,1,0)</f>
        <v>1</v>
      </c>
      <c r="V19" s="8">
        <f>IF(OR(AND(Aspects[[#This Row],[Range stats]]&gt;=15,Aspects[[#This Row],[Range stats]]&lt;=27,Aspects[[#This Row],[Loyauté]]&lt;&gt;"Loyal"),AND(Aspects[[#This Row],[Range stats]]&gt;=27,Aspects[[#This Row],[Range stats]]&lt;=40,Aspects[[#This Row],[Loyauté]]="Loyal")),1,0)</f>
        <v>1</v>
      </c>
      <c r="W19" s="9"/>
    </row>
    <row r="20" spans="1:23" x14ac:dyDescent="0.25">
      <c r="A20" s="1" t="s">
        <v>46</v>
      </c>
      <c r="B20" s="16" t="str">
        <f>Aspects[[#This Row],[Phy min]] &amp; " - " &amp; Aspects[[#This Row],[Phy max]]</f>
        <v>10 - 22</v>
      </c>
      <c r="C20" s="13">
        <v>10</v>
      </c>
      <c r="D20" s="13">
        <v>22</v>
      </c>
      <c r="E20" s="16" t="str">
        <f>Aspects[[#This Row],[Men min]] &amp; " - " &amp; Aspects[[#This Row],[Men max]]</f>
        <v>10 - 20</v>
      </c>
      <c r="F20" s="13">
        <v>10</v>
      </c>
      <c r="G20" s="13">
        <v>20</v>
      </c>
      <c r="H20" s="16" t="str">
        <f>Aspects[[#This Row],[Cha min]] &amp; " - " &amp; Aspects[[#This Row],[Cha max]]</f>
        <v>0 - 12</v>
      </c>
      <c r="I20" s="13">
        <v>0</v>
      </c>
      <c r="J20" s="13">
        <v>12</v>
      </c>
      <c r="K20" s="14">
        <f>Aspects[[#This Row],[Phy min]]+Aspects[[#This Row],[Men min]]+Aspects[[#This Row],[Cha min]]</f>
        <v>20</v>
      </c>
      <c r="L20" s="14">
        <f>Aspects[[#This Row],[Phy max]]+Aspects[[#This Row],[Men max]]+Aspects[[#This Row],[Cha max]]</f>
        <v>54</v>
      </c>
      <c r="M20" s="14">
        <f>MAX(Aspects[[#This Row],[Max stats]]-Aspects[[#This Row],[Min stats]],0)</f>
        <v>34</v>
      </c>
      <c r="N20" s="12">
        <f>ROUNDUP(AVERAGE(Aspects[[#This Row],[Phy min]:[Phy max]])*WPHYSIC+AVERAGE(Aspects[[#This Row],[Men min]:[Men max]])*WMENTAL+AVERAGE(Aspects[[#This Row],[Cha min]:[Cha max]])*WCHARAC,0)</f>
        <v>8</v>
      </c>
      <c r="O20" s="2" t="s">
        <v>38</v>
      </c>
      <c r="P20" s="1" t="s">
        <v>9</v>
      </c>
      <c r="Q20" s="10" t="str">
        <f>IFERROR(VLOOKUP(Aspects[[#This Row],[Alignement]],Alignement[],2,FALSE),"")</f>
        <v>Neutre</v>
      </c>
      <c r="R20" s="10" t="str">
        <f>IFERROR(VLOOKUP(Aspects[[#This Row],[Alignement]],Alignement[],3,FALSE),"")</f>
        <v>Loyal</v>
      </c>
      <c r="S20" s="8">
        <f>IF(Aspects[[#This Row],[Men min]]&lt;8,0,1)</f>
        <v>1</v>
      </c>
      <c r="T20" s="8">
        <f>IF(OR(AND(Aspects[[#This Row],[Min stats]]&lt;=35,Aspects[[#This Row],[Loyauté]]&lt;&gt;"Loyal"),AND(Aspects[[#This Row],[Min stats]]&lt;=25,Aspects[[#This Row],[Loyauté]]="Loyal")),1,0)</f>
        <v>1</v>
      </c>
      <c r="U20" s="8">
        <f>IF(Aspects[[#This Row],[Max stats]]&gt;=43,1,0)</f>
        <v>1</v>
      </c>
      <c r="V20" s="8">
        <f>IF(OR(AND(Aspects[[#This Row],[Range stats]]&gt;=15,Aspects[[#This Row],[Range stats]]&lt;=27,Aspects[[#This Row],[Loyauté]]&lt;&gt;"Loyal"),AND(Aspects[[#This Row],[Range stats]]&gt;=27,Aspects[[#This Row],[Range stats]]&lt;=40,Aspects[[#This Row],[Loyauté]]="Loyal")),1,0)</f>
        <v>1</v>
      </c>
      <c r="W20" s="9"/>
    </row>
    <row r="21" spans="1:23" x14ac:dyDescent="0.25">
      <c r="A21" s="1" t="s">
        <v>59</v>
      </c>
      <c r="B21" s="16" t="str">
        <f>Aspects[[#This Row],[Phy min]] &amp; " - " &amp; Aspects[[#This Row],[Phy max]]</f>
        <v>10 - 18</v>
      </c>
      <c r="C21" s="13">
        <v>10</v>
      </c>
      <c r="D21" s="13">
        <v>18</v>
      </c>
      <c r="E21" s="16" t="str">
        <f>Aspects[[#This Row],[Men min]] &amp; " - " &amp; Aspects[[#This Row],[Men max]]</f>
        <v>12 - 20</v>
      </c>
      <c r="F21" s="13">
        <v>12</v>
      </c>
      <c r="G21" s="13">
        <v>20</v>
      </c>
      <c r="H21" s="16" t="str">
        <f>Aspects[[#This Row],[Cha min]] &amp; " - " &amp; Aspects[[#This Row],[Cha max]]</f>
        <v>10 - 18</v>
      </c>
      <c r="I21" s="13">
        <v>10</v>
      </c>
      <c r="J21" s="13">
        <v>18</v>
      </c>
      <c r="K21" s="14">
        <f>Aspects[[#This Row],[Phy min]]+Aspects[[#This Row],[Men min]]+Aspects[[#This Row],[Cha min]]</f>
        <v>32</v>
      </c>
      <c r="L21" s="14">
        <f>Aspects[[#This Row],[Phy max]]+Aspects[[#This Row],[Men max]]+Aspects[[#This Row],[Cha max]]</f>
        <v>56</v>
      </c>
      <c r="M21" s="14">
        <f>MAX(Aspects[[#This Row],[Max stats]]-Aspects[[#This Row],[Min stats]],0)</f>
        <v>24</v>
      </c>
      <c r="N21" s="12">
        <f>ROUNDUP(AVERAGE(Aspects[[#This Row],[Phy min]:[Phy max]])*WPHYSIC+AVERAGE(Aspects[[#This Row],[Men min]:[Men max]])*WMENTAL+AVERAGE(Aspects[[#This Row],[Cha min]:[Cha max]])*WCHARAC,0)</f>
        <v>10</v>
      </c>
      <c r="O21" s="2" t="s">
        <v>41</v>
      </c>
      <c r="P21" s="1" t="s">
        <v>0</v>
      </c>
      <c r="Q21" s="10" t="str">
        <f>IFERROR(VLOOKUP(Aspects[[#This Row],[Alignement]],Alignement[],2,FALSE),"")</f>
        <v>Mauvais</v>
      </c>
      <c r="R21" s="10" t="str">
        <f>IFERROR(VLOOKUP(Aspects[[#This Row],[Alignement]],Alignement[],3,FALSE),"")</f>
        <v>Neutre</v>
      </c>
      <c r="S21" s="8">
        <f>IF(Aspects[[#This Row],[Men min]]&lt;8,0,1)</f>
        <v>1</v>
      </c>
      <c r="T21" s="8">
        <f>IF(OR(AND(Aspects[[#This Row],[Min stats]]&lt;=35,Aspects[[#This Row],[Loyauté]]&lt;&gt;"Loyal"),AND(Aspects[[#This Row],[Min stats]]&lt;=25,Aspects[[#This Row],[Loyauté]]="Loyal")),1,0)</f>
        <v>1</v>
      </c>
      <c r="U21" s="8">
        <f>IF(Aspects[[#This Row],[Max stats]]&gt;=43,1,0)</f>
        <v>1</v>
      </c>
      <c r="V21" s="8">
        <f>IF(OR(AND(Aspects[[#This Row],[Range stats]]&gt;=15,Aspects[[#This Row],[Range stats]]&lt;=27,Aspects[[#This Row],[Loyauté]]&lt;&gt;"Loyal"),AND(Aspects[[#This Row],[Range stats]]&gt;=27,Aspects[[#This Row],[Range stats]]&lt;=40,Aspects[[#This Row],[Loyauté]]="Loyal")),1,0)</f>
        <v>1</v>
      </c>
      <c r="W21" s="9"/>
    </row>
    <row r="22" spans="1:23" x14ac:dyDescent="0.25">
      <c r="A22" s="1" t="s">
        <v>52</v>
      </c>
      <c r="B22" s="16" t="str">
        <f>Aspects[[#This Row],[Phy min]] &amp; " - " &amp; Aspects[[#This Row],[Phy max]]</f>
        <v>6 - 18</v>
      </c>
      <c r="C22" s="13">
        <v>6</v>
      </c>
      <c r="D22" s="13">
        <v>18</v>
      </c>
      <c r="E22" s="16" t="str">
        <f>Aspects[[#This Row],[Men min]] &amp; " - " &amp; Aspects[[#This Row],[Men max]]</f>
        <v>8 - 20</v>
      </c>
      <c r="F22" s="13">
        <v>8</v>
      </c>
      <c r="G22" s="13">
        <v>20</v>
      </c>
      <c r="H22" s="16" t="str">
        <f>Aspects[[#This Row],[Cha min]] &amp; " - " &amp; Aspects[[#This Row],[Cha max]]</f>
        <v>8 - 20</v>
      </c>
      <c r="I22" s="13">
        <v>8</v>
      </c>
      <c r="J22" s="13">
        <v>20</v>
      </c>
      <c r="K22" s="14">
        <f>Aspects[[#This Row],[Phy min]]+Aspects[[#This Row],[Men min]]+Aspects[[#This Row],[Cha min]]</f>
        <v>22</v>
      </c>
      <c r="L22" s="14">
        <f>Aspects[[#This Row],[Phy max]]+Aspects[[#This Row],[Men max]]+Aspects[[#This Row],[Cha max]]</f>
        <v>58</v>
      </c>
      <c r="M22" s="14">
        <f>MAX(Aspects[[#This Row],[Max stats]]-Aspects[[#This Row],[Min stats]],0)</f>
        <v>36</v>
      </c>
      <c r="N22" s="12">
        <f>ROUNDUP(AVERAGE(Aspects[[#This Row],[Phy min]:[Phy max]])*WPHYSIC+AVERAGE(Aspects[[#This Row],[Men min]:[Men max]])*WMENTAL+AVERAGE(Aspects[[#This Row],[Cha min]:[Cha max]])*WCHARAC,0)</f>
        <v>9</v>
      </c>
      <c r="O22" s="2" t="s">
        <v>42</v>
      </c>
      <c r="P22" s="1" t="s">
        <v>9</v>
      </c>
      <c r="Q22" s="10" t="str">
        <f>IFERROR(VLOOKUP(Aspects[[#This Row],[Alignement]],Alignement[],2,FALSE),"")</f>
        <v>Neutre</v>
      </c>
      <c r="R22" s="10" t="str">
        <f>IFERROR(VLOOKUP(Aspects[[#This Row],[Alignement]],Alignement[],3,FALSE),"")</f>
        <v>Loyal</v>
      </c>
      <c r="S22" s="8">
        <f>IF(Aspects[[#This Row],[Men min]]&lt;8,0,1)</f>
        <v>1</v>
      </c>
      <c r="T22" s="8">
        <f>IF(OR(AND(Aspects[[#This Row],[Min stats]]&lt;=35,Aspects[[#This Row],[Loyauté]]&lt;&gt;"Loyal"),AND(Aspects[[#This Row],[Min stats]]&lt;=25,Aspects[[#This Row],[Loyauté]]="Loyal")),1,0)</f>
        <v>1</v>
      </c>
      <c r="U22" s="8">
        <f>IF(Aspects[[#This Row],[Max stats]]&gt;=43,1,0)</f>
        <v>1</v>
      </c>
      <c r="V22" s="8">
        <f>IF(OR(AND(Aspects[[#This Row],[Range stats]]&gt;=15,Aspects[[#This Row],[Range stats]]&lt;=27,Aspects[[#This Row],[Loyauté]]&lt;&gt;"Loyal"),AND(Aspects[[#This Row],[Range stats]]&gt;=27,Aspects[[#This Row],[Range stats]]&lt;=40,Aspects[[#This Row],[Loyauté]]="Loyal")),1,0)</f>
        <v>1</v>
      </c>
      <c r="W22" s="9"/>
    </row>
    <row r="23" spans="1:23" x14ac:dyDescent="0.25">
      <c r="A23" s="1" t="s">
        <v>16</v>
      </c>
      <c r="B23" s="16" t="str">
        <f>Aspects[[#This Row],[Phy min]] &amp; " - " &amp; Aspects[[#This Row],[Phy max]]</f>
        <v>8 - 13</v>
      </c>
      <c r="C23" s="13">
        <v>8</v>
      </c>
      <c r="D23" s="13">
        <v>13</v>
      </c>
      <c r="E23" s="16" t="str">
        <f>Aspects[[#This Row],[Men min]] &amp; " - " &amp; Aspects[[#This Row],[Men max]]</f>
        <v>10 - 20</v>
      </c>
      <c r="F23" s="13">
        <v>10</v>
      </c>
      <c r="G23" s="13">
        <v>20</v>
      </c>
      <c r="H23" s="16" t="str">
        <f>Aspects[[#This Row],[Cha min]] &amp; " - " &amp; Aspects[[#This Row],[Cha max]]</f>
        <v>5 - 15</v>
      </c>
      <c r="I23" s="13">
        <v>5</v>
      </c>
      <c r="J23" s="13">
        <v>15</v>
      </c>
      <c r="K23" s="14">
        <f>Aspects[[#This Row],[Phy min]]+Aspects[[#This Row],[Men min]]+Aspects[[#This Row],[Cha min]]</f>
        <v>23</v>
      </c>
      <c r="L23" s="14">
        <f>Aspects[[#This Row],[Phy max]]+Aspects[[#This Row],[Men max]]+Aspects[[#This Row],[Cha max]]</f>
        <v>48</v>
      </c>
      <c r="M23" s="14">
        <f>MAX(Aspects[[#This Row],[Max stats]]-Aspects[[#This Row],[Min stats]],0)</f>
        <v>25</v>
      </c>
      <c r="N23" s="12">
        <f>ROUNDUP(AVERAGE(Aspects[[#This Row],[Phy min]:[Phy max]])*WPHYSIC+AVERAGE(Aspects[[#This Row],[Men min]:[Men max]])*WMENTAL+AVERAGE(Aspects[[#This Row],[Cha min]:[Cha max]])*WCHARAC,0)</f>
        <v>8</v>
      </c>
      <c r="O23" s="2" t="s">
        <v>41</v>
      </c>
      <c r="P23" s="1" t="s">
        <v>5</v>
      </c>
      <c r="Q23" s="10" t="str">
        <f>IFERROR(VLOOKUP(Aspects[[#This Row],[Alignement]],Alignement[],2,FALSE),"")</f>
        <v>Neutre</v>
      </c>
      <c r="R23" s="10" t="str">
        <f>IFERROR(VLOOKUP(Aspects[[#This Row],[Alignement]],Alignement[],3,FALSE),"")</f>
        <v>Neutre</v>
      </c>
      <c r="S23" s="8">
        <f>IF(Aspects[[#This Row],[Men min]]&lt;8,0,1)</f>
        <v>1</v>
      </c>
      <c r="T23" s="8">
        <f>IF(OR(AND(Aspects[[#This Row],[Min stats]]&lt;=35,Aspects[[#This Row],[Loyauté]]&lt;&gt;"Loyal"),AND(Aspects[[#This Row],[Min stats]]&lt;=25,Aspects[[#This Row],[Loyauté]]="Loyal")),1,0)</f>
        <v>1</v>
      </c>
      <c r="U23" s="8">
        <f>IF(Aspects[[#This Row],[Max stats]]&gt;=43,1,0)</f>
        <v>1</v>
      </c>
      <c r="V23" s="8">
        <f>IF(OR(AND(Aspects[[#This Row],[Range stats]]&gt;=15,Aspects[[#This Row],[Range stats]]&lt;=27,Aspects[[#This Row],[Loyauté]]&lt;&gt;"Loyal"),AND(Aspects[[#This Row],[Range stats]]&gt;=27,Aspects[[#This Row],[Range stats]]&lt;=40,Aspects[[#This Row],[Loyauté]]="Loyal")),1,0)</f>
        <v>1</v>
      </c>
      <c r="W23" s="9"/>
    </row>
    <row r="24" spans="1:23" x14ac:dyDescent="0.25">
      <c r="A24" s="1" t="s">
        <v>49</v>
      </c>
      <c r="B24" s="16" t="str">
        <f>Aspects[[#This Row],[Phy min]] &amp; " - " &amp; Aspects[[#This Row],[Phy max]]</f>
        <v>18 - 28</v>
      </c>
      <c r="C24" s="13">
        <v>18</v>
      </c>
      <c r="D24" s="13">
        <v>28</v>
      </c>
      <c r="E24" s="16" t="str">
        <f>Aspects[[#This Row],[Men min]] &amp; " - " &amp; Aspects[[#This Row],[Men max]]</f>
        <v>0 - 10</v>
      </c>
      <c r="F24" s="13">
        <v>0</v>
      </c>
      <c r="G24" s="13">
        <v>10</v>
      </c>
      <c r="H24" s="16" t="str">
        <f>Aspects[[#This Row],[Cha min]] &amp; " - " &amp; Aspects[[#This Row],[Cha max]]</f>
        <v>3 - 10</v>
      </c>
      <c r="I24" s="13">
        <v>3</v>
      </c>
      <c r="J24" s="13">
        <v>10</v>
      </c>
      <c r="K24" s="14">
        <f>Aspects[[#This Row],[Phy min]]+Aspects[[#This Row],[Men min]]+Aspects[[#This Row],[Cha min]]</f>
        <v>21</v>
      </c>
      <c r="L24" s="14">
        <f>Aspects[[#This Row],[Phy max]]+Aspects[[#This Row],[Men max]]+Aspects[[#This Row],[Cha max]]</f>
        <v>48</v>
      </c>
      <c r="M24" s="14">
        <f>MAX(Aspects[[#This Row],[Max stats]]-Aspects[[#This Row],[Min stats]],0)</f>
        <v>27</v>
      </c>
      <c r="N24" s="12">
        <f>ROUNDUP(AVERAGE(Aspects[[#This Row],[Phy min]:[Phy max]])*WPHYSIC+AVERAGE(Aspects[[#This Row],[Men min]:[Men max]])*WMENTAL+AVERAGE(Aspects[[#This Row],[Cha min]:[Cha max]])*WCHARAC,0)</f>
        <v>7</v>
      </c>
      <c r="O24" s="2" t="s">
        <v>38</v>
      </c>
      <c r="P24" s="1" t="s">
        <v>4</v>
      </c>
      <c r="Q24" s="10" t="str">
        <f>IFERROR(VLOOKUP(Aspects[[#This Row],[Alignement]],Alignement[],2,FALSE),"")</f>
        <v>Neutre</v>
      </c>
      <c r="R24" s="10" t="str">
        <f>IFERROR(VLOOKUP(Aspects[[#This Row],[Alignement]],Alignement[],3,FALSE),"")</f>
        <v>Chaotique</v>
      </c>
      <c r="S24" s="8">
        <f>IF(Aspects[[#This Row],[Men min]]&lt;8,0,1)</f>
        <v>0</v>
      </c>
      <c r="T24" s="8">
        <f>IF(OR(AND(Aspects[[#This Row],[Min stats]]&lt;=35,Aspects[[#This Row],[Loyauté]]&lt;&gt;"Loyal"),AND(Aspects[[#This Row],[Min stats]]&lt;=25,Aspects[[#This Row],[Loyauté]]="Loyal")),1,0)</f>
        <v>1</v>
      </c>
      <c r="U24" s="8">
        <f>IF(Aspects[[#This Row],[Max stats]]&gt;=43,1,0)</f>
        <v>1</v>
      </c>
      <c r="V24" s="8">
        <f>IF(OR(AND(Aspects[[#This Row],[Range stats]]&gt;=15,Aspects[[#This Row],[Range stats]]&lt;=27,Aspects[[#This Row],[Loyauté]]&lt;&gt;"Loyal"),AND(Aspects[[#This Row],[Range stats]]&gt;=27,Aspects[[#This Row],[Range stats]]&lt;=40,Aspects[[#This Row],[Loyauté]]="Loyal")),1,0)</f>
        <v>1</v>
      </c>
      <c r="W24" s="9"/>
    </row>
    <row r="25" spans="1:23" x14ac:dyDescent="0.25">
      <c r="A25" s="1" t="s">
        <v>19</v>
      </c>
      <c r="B25" s="16" t="str">
        <f>Aspects[[#This Row],[Phy min]] &amp; " - " &amp; Aspects[[#This Row],[Phy max]]</f>
        <v>10 - 20</v>
      </c>
      <c r="C25" s="13">
        <v>10</v>
      </c>
      <c r="D25" s="13">
        <v>20</v>
      </c>
      <c r="E25" s="16" t="str">
        <f>Aspects[[#This Row],[Men min]] &amp; " - " &amp; Aspects[[#This Row],[Men max]]</f>
        <v>10 - 18</v>
      </c>
      <c r="F25" s="13">
        <v>10</v>
      </c>
      <c r="G25" s="13">
        <v>18</v>
      </c>
      <c r="H25" s="16" t="str">
        <f>Aspects[[#This Row],[Cha min]] &amp; " - " &amp; Aspects[[#This Row],[Cha max]]</f>
        <v>12 - 20</v>
      </c>
      <c r="I25" s="13">
        <v>12</v>
      </c>
      <c r="J25" s="13">
        <v>20</v>
      </c>
      <c r="K25" s="14">
        <f>Aspects[[#This Row],[Phy min]]+Aspects[[#This Row],[Men min]]+Aspects[[#This Row],[Cha min]]</f>
        <v>32</v>
      </c>
      <c r="L25" s="14">
        <f>Aspects[[#This Row],[Phy max]]+Aspects[[#This Row],[Men max]]+Aspects[[#This Row],[Cha max]]</f>
        <v>58</v>
      </c>
      <c r="M25" s="14">
        <f>MAX(Aspects[[#This Row],[Max stats]]-Aspects[[#This Row],[Min stats]],0)</f>
        <v>26</v>
      </c>
      <c r="N25" s="12">
        <f>ROUNDUP(AVERAGE(Aspects[[#This Row],[Phy min]:[Phy max]])*WPHYSIC+AVERAGE(Aspects[[#This Row],[Men min]:[Men max]])*WMENTAL+AVERAGE(Aspects[[#This Row],[Cha min]:[Cha max]])*WCHARAC,0)</f>
        <v>10</v>
      </c>
      <c r="O25" s="2" t="s">
        <v>43</v>
      </c>
      <c r="P25" s="1" t="s">
        <v>0</v>
      </c>
      <c r="Q25" s="10" t="str">
        <f>IFERROR(VLOOKUP(Aspects[[#This Row],[Alignement]],Alignement[],2,FALSE),"")</f>
        <v>Mauvais</v>
      </c>
      <c r="R25" s="10" t="str">
        <f>IFERROR(VLOOKUP(Aspects[[#This Row],[Alignement]],Alignement[],3,FALSE),"")</f>
        <v>Neutre</v>
      </c>
      <c r="S25" s="8">
        <f>IF(Aspects[[#This Row],[Men min]]&lt;8,0,1)</f>
        <v>1</v>
      </c>
      <c r="T25" s="8">
        <f>IF(OR(AND(Aspects[[#This Row],[Min stats]]&lt;=35,Aspects[[#This Row],[Loyauté]]&lt;&gt;"Loyal"),AND(Aspects[[#This Row],[Min stats]]&lt;=25,Aspects[[#This Row],[Loyauté]]="Loyal")),1,0)</f>
        <v>1</v>
      </c>
      <c r="U25" s="8">
        <f>IF(Aspects[[#This Row],[Max stats]]&gt;=43,1,0)</f>
        <v>1</v>
      </c>
      <c r="V25" s="8">
        <f>IF(OR(AND(Aspects[[#This Row],[Range stats]]&gt;=15,Aspects[[#This Row],[Range stats]]&lt;=27,Aspects[[#This Row],[Loyauté]]&lt;&gt;"Loyal"),AND(Aspects[[#This Row],[Range stats]]&gt;=27,Aspects[[#This Row],[Range stats]]&lt;=40,Aspects[[#This Row],[Loyauté]]="Loyal")),1,0)</f>
        <v>1</v>
      </c>
      <c r="W25" s="9"/>
    </row>
    <row r="26" spans="1:23" x14ac:dyDescent="0.25">
      <c r="A26" s="1" t="s">
        <v>50</v>
      </c>
      <c r="B26" s="16" t="str">
        <f>Aspects[[#This Row],[Phy min]] &amp; " - " &amp; Aspects[[#This Row],[Phy max]]</f>
        <v>15 - 27</v>
      </c>
      <c r="C26" s="13">
        <v>15</v>
      </c>
      <c r="D26" s="13">
        <v>27</v>
      </c>
      <c r="E26" s="16" t="str">
        <f>Aspects[[#This Row],[Men min]] &amp; " - " &amp; Aspects[[#This Row],[Men max]]</f>
        <v>10 - 15</v>
      </c>
      <c r="F26" s="13">
        <v>10</v>
      </c>
      <c r="G26" s="13">
        <v>15</v>
      </c>
      <c r="H26" s="16" t="str">
        <f>Aspects[[#This Row],[Cha min]] &amp; " - " &amp; Aspects[[#This Row],[Cha max]]</f>
        <v>10 - 20</v>
      </c>
      <c r="I26" s="13">
        <v>10</v>
      </c>
      <c r="J26" s="13">
        <v>20</v>
      </c>
      <c r="K26" s="14">
        <f>Aspects[[#This Row],[Phy min]]+Aspects[[#This Row],[Men min]]+Aspects[[#This Row],[Cha min]]</f>
        <v>35</v>
      </c>
      <c r="L26" s="14">
        <f>Aspects[[#This Row],[Phy max]]+Aspects[[#This Row],[Men max]]+Aspects[[#This Row],[Cha max]]</f>
        <v>62</v>
      </c>
      <c r="M26" s="14">
        <f>MAX(Aspects[[#This Row],[Max stats]]-Aspects[[#This Row],[Min stats]],0)</f>
        <v>27</v>
      </c>
      <c r="N26" s="12">
        <f>ROUNDUP(AVERAGE(Aspects[[#This Row],[Phy min]:[Phy max]])*WPHYSIC+AVERAGE(Aspects[[#This Row],[Men min]:[Men max]])*WMENTAL+AVERAGE(Aspects[[#This Row],[Cha min]:[Cha max]])*WCHARAC,0)</f>
        <v>11</v>
      </c>
      <c r="O26" s="2" t="s">
        <v>39</v>
      </c>
      <c r="P26" s="1" t="s">
        <v>8</v>
      </c>
      <c r="Q26" s="10" t="str">
        <f>IFERROR(VLOOKUP(Aspects[[#This Row],[Alignement]],Alignement[],2,FALSE),"")</f>
        <v>Mauvais</v>
      </c>
      <c r="R26" s="10" t="str">
        <f>IFERROR(VLOOKUP(Aspects[[#This Row],[Alignement]],Alignement[],3,FALSE),"")</f>
        <v>Chaotique</v>
      </c>
      <c r="S26" s="8">
        <f>IF(Aspects[[#This Row],[Men min]]&lt;8,0,1)</f>
        <v>1</v>
      </c>
      <c r="T26" s="8">
        <f>IF(OR(AND(Aspects[[#This Row],[Min stats]]&lt;=35,Aspects[[#This Row],[Loyauté]]&lt;&gt;"Loyal"),AND(Aspects[[#This Row],[Min stats]]&lt;=25,Aspects[[#This Row],[Loyauté]]="Loyal")),1,0)</f>
        <v>1</v>
      </c>
      <c r="U26" s="8">
        <f>IF(Aspects[[#This Row],[Max stats]]&gt;=43,1,0)</f>
        <v>1</v>
      </c>
      <c r="V26" s="8">
        <f>IF(OR(AND(Aspects[[#This Row],[Range stats]]&gt;=15,Aspects[[#This Row],[Range stats]]&lt;=27,Aspects[[#This Row],[Loyauté]]&lt;&gt;"Loyal"),AND(Aspects[[#This Row],[Range stats]]&gt;=27,Aspects[[#This Row],[Range stats]]&lt;=40,Aspects[[#This Row],[Loyauté]]="Loyal")),1,0)</f>
        <v>1</v>
      </c>
      <c r="W26" s="9"/>
    </row>
    <row r="27" spans="1:23" x14ac:dyDescent="0.25">
      <c r="A27" s="1" t="s">
        <v>63</v>
      </c>
      <c r="B27" s="16" t="str">
        <f>Aspects[[#This Row],[Phy min]] &amp; " - " &amp; Aspects[[#This Row],[Phy max]]</f>
        <v>12 - 20</v>
      </c>
      <c r="C27" s="13">
        <v>12</v>
      </c>
      <c r="D27" s="13">
        <v>20</v>
      </c>
      <c r="E27" s="16" t="str">
        <f>Aspects[[#This Row],[Men min]] &amp; " - " &amp; Aspects[[#This Row],[Men max]]</f>
        <v>8 - 18</v>
      </c>
      <c r="F27" s="13">
        <v>8</v>
      </c>
      <c r="G27" s="13">
        <v>18</v>
      </c>
      <c r="H27" s="16" t="str">
        <f>Aspects[[#This Row],[Cha min]] &amp; " - " &amp; Aspects[[#This Row],[Cha max]]</f>
        <v>12 - 20</v>
      </c>
      <c r="I27" s="13">
        <v>12</v>
      </c>
      <c r="J27" s="13">
        <v>20</v>
      </c>
      <c r="K27" s="14">
        <f>Aspects[[#This Row],[Phy min]]+Aspects[[#This Row],[Men min]]+Aspects[[#This Row],[Cha min]]</f>
        <v>32</v>
      </c>
      <c r="L27" s="14">
        <f>Aspects[[#This Row],[Phy max]]+Aspects[[#This Row],[Men max]]+Aspects[[#This Row],[Cha max]]</f>
        <v>58</v>
      </c>
      <c r="M27" s="14">
        <f>MAX(Aspects[[#This Row],[Max stats]]-Aspects[[#This Row],[Min stats]],0)</f>
        <v>26</v>
      </c>
      <c r="N27" s="12">
        <f>ROUNDUP(AVERAGE(Aspects[[#This Row],[Phy min]:[Phy max]])*WPHYSIC+AVERAGE(Aspects[[#This Row],[Men min]:[Men max]])*WMENTAL+AVERAGE(Aspects[[#This Row],[Cha min]:[Cha max]])*WCHARAC,0)</f>
        <v>10</v>
      </c>
      <c r="O27" s="2" t="s">
        <v>43</v>
      </c>
      <c r="P27" s="1" t="s">
        <v>8</v>
      </c>
      <c r="Q27" s="10" t="str">
        <f>IFERROR(VLOOKUP(Aspects[[#This Row],[Alignement]],Alignement[],2,FALSE),"")</f>
        <v>Mauvais</v>
      </c>
      <c r="R27" s="10" t="str">
        <f>IFERROR(VLOOKUP(Aspects[[#This Row],[Alignement]],Alignement[],3,FALSE),"")</f>
        <v>Chaotique</v>
      </c>
      <c r="S27" s="8">
        <f>IF(Aspects[[#This Row],[Men min]]&lt;8,0,1)</f>
        <v>1</v>
      </c>
      <c r="T27" s="8">
        <f>IF(OR(AND(Aspects[[#This Row],[Min stats]]&lt;=35,Aspects[[#This Row],[Loyauté]]&lt;&gt;"Loyal"),AND(Aspects[[#This Row],[Min stats]]&lt;=25,Aspects[[#This Row],[Loyauté]]="Loyal")),1,0)</f>
        <v>1</v>
      </c>
      <c r="U27" s="8">
        <f>IF(Aspects[[#This Row],[Max stats]]&gt;=43,1,0)</f>
        <v>1</v>
      </c>
      <c r="V27" s="8">
        <f>IF(OR(AND(Aspects[[#This Row],[Range stats]]&gt;=15,Aspects[[#This Row],[Range stats]]&lt;=27,Aspects[[#This Row],[Loyauté]]&lt;&gt;"Loyal"),AND(Aspects[[#This Row],[Range stats]]&gt;=27,Aspects[[#This Row],[Range stats]]&lt;=40,Aspects[[#This Row],[Loyauté]]="Loyal")),1,0)</f>
        <v>1</v>
      </c>
      <c r="W27" s="9"/>
    </row>
    <row r="28" spans="1:23" x14ac:dyDescent="0.25">
      <c r="A28" s="1" t="s">
        <v>79</v>
      </c>
      <c r="B28" s="16" t="str">
        <f>Aspects[[#This Row],[Phy min]] &amp; " - " &amp; Aspects[[#This Row],[Phy max]]</f>
        <v>15 - 23</v>
      </c>
      <c r="C28" s="13">
        <v>15</v>
      </c>
      <c r="D28" s="13">
        <v>23</v>
      </c>
      <c r="E28" s="16" t="str">
        <f>Aspects[[#This Row],[Men min]] &amp; " - " &amp; Aspects[[#This Row],[Men max]]</f>
        <v>8 - 15</v>
      </c>
      <c r="F28" s="13">
        <v>8</v>
      </c>
      <c r="G28" s="13">
        <v>15</v>
      </c>
      <c r="H28" s="16" t="str">
        <f>Aspects[[#This Row],[Cha min]] &amp; " - " &amp; Aspects[[#This Row],[Cha max]]</f>
        <v>10 - 18</v>
      </c>
      <c r="I28" s="13">
        <v>10</v>
      </c>
      <c r="J28" s="13">
        <v>18</v>
      </c>
      <c r="K28" s="14">
        <f>Aspects[[#This Row],[Phy min]]+Aspects[[#This Row],[Men min]]+Aspects[[#This Row],[Cha min]]</f>
        <v>33</v>
      </c>
      <c r="L28" s="14">
        <f>Aspects[[#This Row],[Phy max]]+Aspects[[#This Row],[Men max]]+Aspects[[#This Row],[Cha max]]</f>
        <v>56</v>
      </c>
      <c r="M28" s="14">
        <f>MAX(Aspects[[#This Row],[Max stats]]-Aspects[[#This Row],[Min stats]],0)</f>
        <v>23</v>
      </c>
      <c r="N28" s="12">
        <f>ROUNDUP(AVERAGE(Aspects[[#This Row],[Phy min]:[Phy max]])*WPHYSIC+AVERAGE(Aspects[[#This Row],[Men min]:[Men max]])*WMENTAL+AVERAGE(Aspects[[#This Row],[Cha min]:[Cha max]])*WCHARAC,0)</f>
        <v>10</v>
      </c>
      <c r="O28" s="2" t="s">
        <v>38</v>
      </c>
      <c r="P28" s="1" t="s">
        <v>6</v>
      </c>
      <c r="Q28" s="10" t="str">
        <f>IFERROR(VLOOKUP(Aspects[[#This Row],[Alignement]],Alignement[],2,FALSE),"")</f>
        <v>Bon</v>
      </c>
      <c r="R28" s="10" t="str">
        <f>IFERROR(VLOOKUP(Aspects[[#This Row],[Alignement]],Alignement[],3,FALSE),"")</f>
        <v>Chaotique</v>
      </c>
      <c r="S28" s="8">
        <f>IF(Aspects[[#This Row],[Men min]]&lt;8,0,1)</f>
        <v>1</v>
      </c>
      <c r="T28" s="8">
        <f>IF(OR(AND(Aspects[[#This Row],[Min stats]]&lt;=35,Aspects[[#This Row],[Loyauté]]&lt;&gt;"Loyal"),AND(Aspects[[#This Row],[Min stats]]&lt;=25,Aspects[[#This Row],[Loyauté]]="Loyal")),1,0)</f>
        <v>1</v>
      </c>
      <c r="U28" s="8">
        <f>IF(Aspects[[#This Row],[Max stats]]&gt;=43,1,0)</f>
        <v>1</v>
      </c>
      <c r="V28" s="8">
        <f>IF(OR(AND(Aspects[[#This Row],[Range stats]]&gt;=15,Aspects[[#This Row],[Range stats]]&lt;=27,Aspects[[#This Row],[Loyauté]]&lt;&gt;"Loyal"),AND(Aspects[[#This Row],[Range stats]]&gt;=27,Aspects[[#This Row],[Range stats]]&lt;=40,Aspects[[#This Row],[Loyauté]]="Loyal")),1,0)</f>
        <v>1</v>
      </c>
      <c r="W28" s="9"/>
    </row>
    <row r="29" spans="1:23" x14ac:dyDescent="0.25">
      <c r="A29" t="s">
        <v>44</v>
      </c>
      <c r="B29" s="16" t="str">
        <f>Aspects[[#This Row],[Phy min]] &amp; " - " &amp; Aspects[[#This Row],[Phy max]]</f>
        <v>8 - 18</v>
      </c>
      <c r="C29" s="13">
        <v>8</v>
      </c>
      <c r="D29" s="13">
        <v>18</v>
      </c>
      <c r="E29" s="16" t="str">
        <f>Aspects[[#This Row],[Men min]] &amp; " - " &amp; Aspects[[#This Row],[Men max]]</f>
        <v>12 - 20</v>
      </c>
      <c r="F29" s="13">
        <v>12</v>
      </c>
      <c r="G29" s="13">
        <v>20</v>
      </c>
      <c r="H29" s="16" t="str">
        <f>Aspects[[#This Row],[Cha min]] &amp; " - " &amp; Aspects[[#This Row],[Cha max]]</f>
        <v>5 - 12</v>
      </c>
      <c r="I29" s="13">
        <v>5</v>
      </c>
      <c r="J29" s="13">
        <v>12</v>
      </c>
      <c r="K29" s="14">
        <f>Aspects[[#This Row],[Phy min]]+Aspects[[#This Row],[Men min]]+Aspects[[#This Row],[Cha min]]</f>
        <v>25</v>
      </c>
      <c r="L29" s="14">
        <f>Aspects[[#This Row],[Phy max]]+Aspects[[#This Row],[Men max]]+Aspects[[#This Row],[Cha max]]</f>
        <v>50</v>
      </c>
      <c r="M29" s="14">
        <f>MAX(Aspects[[#This Row],[Max stats]]-Aspects[[#This Row],[Min stats]],0)</f>
        <v>25</v>
      </c>
      <c r="N29" s="12">
        <f>ROUNDUP(AVERAGE(Aspects[[#This Row],[Phy min]:[Phy max]])*WPHYSIC+AVERAGE(Aspects[[#This Row],[Men min]:[Men max]])*WMENTAL+AVERAGE(Aspects[[#This Row],[Cha min]:[Cha max]])*WCHARAC,0)</f>
        <v>8</v>
      </c>
      <c r="O29" s="2" t="s">
        <v>40</v>
      </c>
      <c r="P29" s="1" t="s">
        <v>6</v>
      </c>
      <c r="Q29" s="10" t="str">
        <f>IFERROR(VLOOKUP(Aspects[[#This Row],[Alignement]],Alignement[],2,FALSE),"")</f>
        <v>Bon</v>
      </c>
      <c r="R29" s="10" t="str">
        <f>IFERROR(VLOOKUP(Aspects[[#This Row],[Alignement]],Alignement[],3,FALSE),"")</f>
        <v>Chaotique</v>
      </c>
      <c r="S29" s="8">
        <f>IF(Aspects[[#This Row],[Men min]]&lt;8,0,1)</f>
        <v>1</v>
      </c>
      <c r="T29" s="8">
        <f>IF(OR(AND(Aspects[[#This Row],[Min stats]]&lt;=35,Aspects[[#This Row],[Loyauté]]&lt;&gt;"Loyal"),AND(Aspects[[#This Row],[Min stats]]&lt;=25,Aspects[[#This Row],[Loyauté]]="Loyal")),1,0)</f>
        <v>1</v>
      </c>
      <c r="U29" s="8">
        <f>IF(Aspects[[#This Row],[Max stats]]&gt;=43,1,0)</f>
        <v>1</v>
      </c>
      <c r="V29" s="8">
        <f>IF(OR(AND(Aspects[[#This Row],[Range stats]]&gt;=15,Aspects[[#This Row],[Range stats]]&lt;=27,Aspects[[#This Row],[Loyauté]]&lt;&gt;"Loyal"),AND(Aspects[[#This Row],[Range stats]]&gt;=27,Aspects[[#This Row],[Range stats]]&lt;=40,Aspects[[#This Row],[Loyauté]]="Loyal")),1,0)</f>
        <v>1</v>
      </c>
      <c r="W29" s="9"/>
    </row>
    <row r="30" spans="1:23" x14ac:dyDescent="0.25">
      <c r="A30" s="1" t="s">
        <v>48</v>
      </c>
      <c r="B30" s="16" t="str">
        <f>Aspects[[#This Row],[Phy min]] &amp; " - " &amp; Aspects[[#This Row],[Phy max]]</f>
        <v>17 - 28</v>
      </c>
      <c r="C30" s="13">
        <v>17</v>
      </c>
      <c r="D30" s="13">
        <v>28</v>
      </c>
      <c r="E30" s="16" t="str">
        <f>Aspects[[#This Row],[Men min]] &amp; " - " &amp; Aspects[[#This Row],[Men max]]</f>
        <v>8 - 15</v>
      </c>
      <c r="F30" s="13">
        <v>8</v>
      </c>
      <c r="G30" s="13">
        <v>15</v>
      </c>
      <c r="H30" s="16" t="str">
        <f>Aspects[[#This Row],[Cha min]] &amp; " - " &amp; Aspects[[#This Row],[Cha max]]</f>
        <v>10 - 18</v>
      </c>
      <c r="I30" s="13">
        <v>10</v>
      </c>
      <c r="J30" s="13">
        <v>18</v>
      </c>
      <c r="K30" s="14">
        <f>Aspects[[#This Row],[Phy min]]+Aspects[[#This Row],[Men min]]+Aspects[[#This Row],[Cha min]]</f>
        <v>35</v>
      </c>
      <c r="L30" s="14">
        <f>Aspects[[#This Row],[Phy max]]+Aspects[[#This Row],[Men max]]+Aspects[[#This Row],[Cha max]]</f>
        <v>61</v>
      </c>
      <c r="M30" s="14">
        <f>MAX(Aspects[[#This Row],[Max stats]]-Aspects[[#This Row],[Min stats]],0)</f>
        <v>26</v>
      </c>
      <c r="N30" s="12">
        <f>ROUNDUP(AVERAGE(Aspects[[#This Row],[Phy min]:[Phy max]])*WPHYSIC+AVERAGE(Aspects[[#This Row],[Men min]:[Men max]])*WMENTAL+AVERAGE(Aspects[[#This Row],[Cha min]:[Cha max]])*WCHARAC,0)</f>
        <v>10</v>
      </c>
      <c r="O30" s="2" t="s">
        <v>37</v>
      </c>
      <c r="P30" s="1" t="s">
        <v>8</v>
      </c>
      <c r="Q30" s="10" t="str">
        <f>IFERROR(VLOOKUP(Aspects[[#This Row],[Alignement]],Alignement[],2,FALSE),"")</f>
        <v>Mauvais</v>
      </c>
      <c r="R30" s="10" t="str">
        <f>IFERROR(VLOOKUP(Aspects[[#This Row],[Alignement]],Alignement[],3,FALSE),"")</f>
        <v>Chaotique</v>
      </c>
      <c r="S30" s="8">
        <f>IF(Aspects[[#This Row],[Men min]]&lt;8,0,1)</f>
        <v>1</v>
      </c>
      <c r="T30" s="8">
        <f>IF(OR(AND(Aspects[[#This Row],[Min stats]]&lt;=35,Aspects[[#This Row],[Loyauté]]&lt;&gt;"Loyal"),AND(Aspects[[#This Row],[Min stats]]&lt;=25,Aspects[[#This Row],[Loyauté]]="Loyal")),1,0)</f>
        <v>1</v>
      </c>
      <c r="U30" s="8">
        <f>IF(Aspects[[#This Row],[Max stats]]&gt;=43,1,0)</f>
        <v>1</v>
      </c>
      <c r="V30" s="8">
        <f>IF(OR(AND(Aspects[[#This Row],[Range stats]]&gt;=15,Aspects[[#This Row],[Range stats]]&lt;=27,Aspects[[#This Row],[Loyauté]]&lt;&gt;"Loyal"),AND(Aspects[[#This Row],[Range stats]]&gt;=27,Aspects[[#This Row],[Range stats]]&lt;=40,Aspects[[#This Row],[Loyauté]]="Loyal")),1,0)</f>
        <v>1</v>
      </c>
      <c r="W30" s="9"/>
    </row>
    <row r="31" spans="1:23" x14ac:dyDescent="0.25">
      <c r="A31" s="1" t="s">
        <v>20</v>
      </c>
      <c r="B31" s="16" t="str">
        <f>Aspects[[#This Row],[Phy min]] &amp; " - " &amp; Aspects[[#This Row],[Phy max]]</f>
        <v>18 - 22</v>
      </c>
      <c r="C31" s="13">
        <v>18</v>
      </c>
      <c r="D31" s="13">
        <v>22</v>
      </c>
      <c r="E31" s="16" t="str">
        <f>Aspects[[#This Row],[Men min]] &amp; " - " &amp; Aspects[[#This Row],[Men max]]</f>
        <v>3 - 13</v>
      </c>
      <c r="F31" s="13">
        <v>3</v>
      </c>
      <c r="G31" s="13">
        <v>13</v>
      </c>
      <c r="H31" s="16" t="str">
        <f>Aspects[[#This Row],[Cha min]] &amp; " - " &amp; Aspects[[#This Row],[Cha max]]</f>
        <v>10 - 20</v>
      </c>
      <c r="I31" s="13">
        <v>10</v>
      </c>
      <c r="J31" s="13">
        <v>20</v>
      </c>
      <c r="K31" s="14">
        <f>Aspects[[#This Row],[Phy min]]+Aspects[[#This Row],[Men min]]+Aspects[[#This Row],[Cha min]]</f>
        <v>31</v>
      </c>
      <c r="L31" s="14">
        <f>Aspects[[#This Row],[Phy max]]+Aspects[[#This Row],[Men max]]+Aspects[[#This Row],[Cha max]]</f>
        <v>55</v>
      </c>
      <c r="M31" s="14">
        <f>MAX(Aspects[[#This Row],[Max stats]]-Aspects[[#This Row],[Min stats]],0)</f>
        <v>24</v>
      </c>
      <c r="N31" s="12">
        <f>ROUNDUP(AVERAGE(Aspects[[#This Row],[Phy min]:[Phy max]])*WPHYSIC+AVERAGE(Aspects[[#This Row],[Men min]:[Men max]])*WMENTAL+AVERAGE(Aspects[[#This Row],[Cha min]:[Cha max]])*WCHARAC,0)</f>
        <v>10</v>
      </c>
      <c r="O31" s="2" t="s">
        <v>37</v>
      </c>
      <c r="P31" s="1" t="s">
        <v>8</v>
      </c>
      <c r="Q31" s="10" t="str">
        <f>IFERROR(VLOOKUP(Aspects[[#This Row],[Alignement]],Alignement[],2,FALSE),"")</f>
        <v>Mauvais</v>
      </c>
      <c r="R31" s="10" t="str">
        <f>IFERROR(VLOOKUP(Aspects[[#This Row],[Alignement]],Alignement[],3,FALSE),"")</f>
        <v>Chaotique</v>
      </c>
      <c r="S31" s="8">
        <f>IF(Aspects[[#This Row],[Men min]]&lt;8,0,1)</f>
        <v>0</v>
      </c>
      <c r="T31" s="8">
        <f>IF(OR(AND(Aspects[[#This Row],[Min stats]]&lt;=35,Aspects[[#This Row],[Loyauté]]&lt;&gt;"Loyal"),AND(Aspects[[#This Row],[Min stats]]&lt;=25,Aspects[[#This Row],[Loyauté]]="Loyal")),1,0)</f>
        <v>1</v>
      </c>
      <c r="U31" s="8">
        <f>IF(Aspects[[#This Row],[Max stats]]&gt;=43,1,0)</f>
        <v>1</v>
      </c>
      <c r="V31" s="8">
        <f>IF(OR(AND(Aspects[[#This Row],[Range stats]]&gt;=15,Aspects[[#This Row],[Range stats]]&lt;=27,Aspects[[#This Row],[Loyauté]]&lt;&gt;"Loyal"),AND(Aspects[[#This Row],[Range stats]]&gt;=27,Aspects[[#This Row],[Range stats]]&lt;=40,Aspects[[#This Row],[Loyauté]]="Loyal")),1,0)</f>
        <v>1</v>
      </c>
      <c r="W31" s="9"/>
    </row>
    <row r="32" spans="1:23" x14ac:dyDescent="0.25">
      <c r="A32" s="1" t="s">
        <v>56</v>
      </c>
      <c r="B32" s="16" t="str">
        <f>Aspects[[#This Row],[Phy min]] &amp; " - " &amp; Aspects[[#This Row],[Phy max]]</f>
        <v>12 - 25</v>
      </c>
      <c r="C32" s="13">
        <v>12</v>
      </c>
      <c r="D32" s="13">
        <v>25</v>
      </c>
      <c r="E32" s="16" t="str">
        <f>Aspects[[#This Row],[Men min]] &amp; " - " &amp; Aspects[[#This Row],[Men max]]</f>
        <v>8 - 20</v>
      </c>
      <c r="F32" s="13">
        <v>8</v>
      </c>
      <c r="G32" s="13">
        <v>20</v>
      </c>
      <c r="H32" s="16" t="str">
        <f>Aspects[[#This Row],[Cha min]] &amp; " - " &amp; Aspects[[#This Row],[Cha max]]</f>
        <v>5 - 18</v>
      </c>
      <c r="I32" s="13">
        <v>5</v>
      </c>
      <c r="J32" s="13">
        <v>18</v>
      </c>
      <c r="K32" s="14">
        <f>Aspects[[#This Row],[Phy min]]+Aspects[[#This Row],[Men min]]+Aspects[[#This Row],[Cha min]]</f>
        <v>25</v>
      </c>
      <c r="L32" s="14">
        <f>Aspects[[#This Row],[Phy max]]+Aspects[[#This Row],[Men max]]+Aspects[[#This Row],[Cha max]]</f>
        <v>63</v>
      </c>
      <c r="M32" s="14">
        <f>MAX(Aspects[[#This Row],[Max stats]]-Aspects[[#This Row],[Min stats]],0)</f>
        <v>38</v>
      </c>
      <c r="N32" s="12">
        <f>ROUNDUP(AVERAGE(Aspects[[#This Row],[Phy min]:[Phy max]])*WPHYSIC+AVERAGE(Aspects[[#This Row],[Men min]:[Men max]])*WMENTAL+AVERAGE(Aspects[[#This Row],[Cha min]:[Cha max]])*WCHARAC,0)</f>
        <v>10</v>
      </c>
      <c r="O32" s="2" t="s">
        <v>39</v>
      </c>
      <c r="P32" s="1" t="s">
        <v>11</v>
      </c>
      <c r="Q32" s="10" t="str">
        <f>IFERROR(VLOOKUP(Aspects[[#This Row],[Alignement]],Alignement[],2,FALSE),"")</f>
        <v>Mauvais</v>
      </c>
      <c r="R32" s="10" t="str">
        <f>IFERROR(VLOOKUP(Aspects[[#This Row],[Alignement]],Alignement[],3,FALSE),"")</f>
        <v>Loyal</v>
      </c>
      <c r="S32" s="8">
        <f>IF(Aspects[[#This Row],[Men min]]&lt;8,0,1)</f>
        <v>1</v>
      </c>
      <c r="T32" s="8">
        <f>IF(OR(AND(Aspects[[#This Row],[Min stats]]&lt;=35,Aspects[[#This Row],[Loyauté]]&lt;&gt;"Loyal"),AND(Aspects[[#This Row],[Min stats]]&lt;=25,Aspects[[#This Row],[Loyauté]]="Loyal")),1,0)</f>
        <v>1</v>
      </c>
      <c r="U32" s="8">
        <f>IF(Aspects[[#This Row],[Max stats]]&gt;=43,1,0)</f>
        <v>1</v>
      </c>
      <c r="V32" s="8">
        <f>IF(OR(AND(Aspects[[#This Row],[Range stats]]&gt;=15,Aspects[[#This Row],[Range stats]]&lt;=27,Aspects[[#This Row],[Loyauté]]&lt;&gt;"Loyal"),AND(Aspects[[#This Row],[Range stats]]&gt;=27,Aspects[[#This Row],[Range stats]]&lt;=40,Aspects[[#This Row],[Loyauté]]="Loyal")),1,0)</f>
        <v>1</v>
      </c>
      <c r="W32" s="9"/>
    </row>
    <row r="33" spans="1:23" x14ac:dyDescent="0.25">
      <c r="A33" s="1" t="s">
        <v>55</v>
      </c>
      <c r="B33" s="16" t="str">
        <f>Aspects[[#This Row],[Phy min]] &amp; " - " &amp; Aspects[[#This Row],[Phy max]]</f>
        <v>18 - 25</v>
      </c>
      <c r="C33" s="13">
        <v>18</v>
      </c>
      <c r="D33" s="13">
        <v>25</v>
      </c>
      <c r="E33" s="16" t="str">
        <f>Aspects[[#This Row],[Men min]] &amp; " - " &amp; Aspects[[#This Row],[Men max]]</f>
        <v>12 - 20</v>
      </c>
      <c r="F33" s="13">
        <v>12</v>
      </c>
      <c r="G33" s="13">
        <v>20</v>
      </c>
      <c r="H33" s="16" t="str">
        <f>Aspects[[#This Row],[Cha min]] &amp; " - " &amp; Aspects[[#This Row],[Cha max]]</f>
        <v>0 - 8</v>
      </c>
      <c r="I33" s="13">
        <v>0</v>
      </c>
      <c r="J33" s="13">
        <v>8</v>
      </c>
      <c r="K33" s="14">
        <f>Aspects[[#This Row],[Phy min]]+Aspects[[#This Row],[Men min]]+Aspects[[#This Row],[Cha min]]</f>
        <v>30</v>
      </c>
      <c r="L33" s="14">
        <f>Aspects[[#This Row],[Phy max]]+Aspects[[#This Row],[Men max]]+Aspects[[#This Row],[Cha max]]</f>
        <v>53</v>
      </c>
      <c r="M33" s="14">
        <f>MAX(Aspects[[#This Row],[Max stats]]-Aspects[[#This Row],[Min stats]],0)</f>
        <v>23</v>
      </c>
      <c r="N33" s="12">
        <f>ROUNDUP(AVERAGE(Aspects[[#This Row],[Phy min]:[Phy max]])*WPHYSIC+AVERAGE(Aspects[[#This Row],[Men min]:[Men max]])*WMENTAL+AVERAGE(Aspects[[#This Row],[Cha min]:[Cha max]])*WCHARAC,0)</f>
        <v>8</v>
      </c>
      <c r="O33" s="2" t="s">
        <v>37</v>
      </c>
      <c r="P33" s="1" t="s">
        <v>5</v>
      </c>
      <c r="Q33" s="10" t="str">
        <f>IFERROR(VLOOKUP(Aspects[[#This Row],[Alignement]],Alignement[],2,FALSE),"")</f>
        <v>Neutre</v>
      </c>
      <c r="R33" s="10" t="str">
        <f>IFERROR(VLOOKUP(Aspects[[#This Row],[Alignement]],Alignement[],3,FALSE),"")</f>
        <v>Neutre</v>
      </c>
      <c r="S33" s="8">
        <f>IF(Aspects[[#This Row],[Men min]]&lt;8,0,1)</f>
        <v>1</v>
      </c>
      <c r="T33" s="8">
        <f>IF(OR(AND(Aspects[[#This Row],[Min stats]]&lt;=35,Aspects[[#This Row],[Loyauté]]&lt;&gt;"Loyal"),AND(Aspects[[#This Row],[Min stats]]&lt;=25,Aspects[[#This Row],[Loyauté]]="Loyal")),1,0)</f>
        <v>1</v>
      </c>
      <c r="U33" s="8">
        <f>IF(Aspects[[#This Row],[Max stats]]&gt;=43,1,0)</f>
        <v>1</v>
      </c>
      <c r="V33" s="8">
        <f>IF(OR(AND(Aspects[[#This Row],[Range stats]]&gt;=15,Aspects[[#This Row],[Range stats]]&lt;=27,Aspects[[#This Row],[Loyauté]]&lt;&gt;"Loyal"),AND(Aspects[[#This Row],[Range stats]]&gt;=27,Aspects[[#This Row],[Range stats]]&lt;=40,Aspects[[#This Row],[Loyauté]]="Loyal")),1,0)</f>
        <v>1</v>
      </c>
      <c r="W33" s="9"/>
    </row>
    <row r="34" spans="1:23" x14ac:dyDescent="0.25">
      <c r="A34" s="1" t="s">
        <v>84</v>
      </c>
      <c r="B34" s="16" t="str">
        <f>Aspects[[#This Row],[Phy min]] &amp; " - " &amp; Aspects[[#This Row],[Phy max]]</f>
        <v>8 - 18</v>
      </c>
      <c r="C34" s="13">
        <v>8</v>
      </c>
      <c r="D34" s="13">
        <v>18</v>
      </c>
      <c r="E34" s="16" t="str">
        <f>Aspects[[#This Row],[Men min]] &amp; " - " &amp; Aspects[[#This Row],[Men max]]</f>
        <v>8 - 18</v>
      </c>
      <c r="F34" s="13">
        <v>8</v>
      </c>
      <c r="G34" s="13">
        <v>18</v>
      </c>
      <c r="H34" s="16" t="str">
        <f>Aspects[[#This Row],[Cha min]] &amp; " - " &amp; Aspects[[#This Row],[Cha max]]</f>
        <v>5 - 12</v>
      </c>
      <c r="I34" s="13">
        <v>5</v>
      </c>
      <c r="J34" s="13">
        <v>12</v>
      </c>
      <c r="K34" s="14">
        <f>Aspects[[#This Row],[Phy min]]+Aspects[[#This Row],[Men min]]+Aspects[[#This Row],[Cha min]]</f>
        <v>21</v>
      </c>
      <c r="L34" s="14">
        <f>Aspects[[#This Row],[Phy max]]+Aspects[[#This Row],[Men max]]+Aspects[[#This Row],[Cha max]]</f>
        <v>48</v>
      </c>
      <c r="M34" s="14">
        <f>MAX(Aspects[[#This Row],[Max stats]]-Aspects[[#This Row],[Min stats]],0)</f>
        <v>27</v>
      </c>
      <c r="N34" s="12">
        <f>ROUNDUP(AVERAGE(Aspects[[#This Row],[Phy min]:[Phy max]])*WPHYSIC+AVERAGE(Aspects[[#This Row],[Men min]:[Men max]])*WMENTAL+AVERAGE(Aspects[[#This Row],[Cha min]:[Cha max]])*WCHARAC,0)</f>
        <v>8</v>
      </c>
      <c r="O34" s="2" t="s">
        <v>41</v>
      </c>
      <c r="P34" s="1" t="s">
        <v>5</v>
      </c>
      <c r="Q34" s="10" t="str">
        <f>IFERROR(VLOOKUP(Aspects[[#This Row],[Alignement]],Alignement[],2,FALSE),"")</f>
        <v>Neutre</v>
      </c>
      <c r="R34" s="10" t="str">
        <f>IFERROR(VLOOKUP(Aspects[[#This Row],[Alignement]],Alignement[],3,FALSE),"")</f>
        <v>Neutre</v>
      </c>
      <c r="S34" s="8">
        <v>0</v>
      </c>
      <c r="T34" s="8">
        <f>IF(OR(AND(Aspects[[#This Row],[Min stats]]&lt;=35,Aspects[[#This Row],[Loyauté]]&lt;&gt;"Loyal"),AND(Aspects[[#This Row],[Min stats]]&lt;=25,Aspects[[#This Row],[Loyauté]]="Loyal")),1,0)</f>
        <v>1</v>
      </c>
      <c r="U34" s="8">
        <f>IF(Aspects[[#This Row],[Max stats]]&gt;=43,1,0)</f>
        <v>1</v>
      </c>
      <c r="V34" s="8">
        <f>IF(OR(AND(Aspects[[#This Row],[Range stats]]&gt;=15,Aspects[[#This Row],[Range stats]]&lt;=27,Aspects[[#This Row],[Loyauté]]&lt;&gt;"Loyal"),AND(Aspects[[#This Row],[Range stats]]&gt;=27,Aspects[[#This Row],[Range stats]]&lt;=40,Aspects[[#This Row],[Loyauté]]="Loyal")),1,0)</f>
        <v>1</v>
      </c>
      <c r="W34" s="9" t="s">
        <v>76</v>
      </c>
    </row>
    <row r="35" spans="1:23" x14ac:dyDescent="0.25">
      <c r="A35" s="1" t="s">
        <v>60</v>
      </c>
      <c r="B35" s="16" t="str">
        <f>Aspects[[#This Row],[Phy min]] &amp; " - " &amp; Aspects[[#This Row],[Phy max]]</f>
        <v>0 - 13</v>
      </c>
      <c r="C35" s="13">
        <v>0</v>
      </c>
      <c r="D35" s="13">
        <v>13</v>
      </c>
      <c r="E35" s="16" t="str">
        <f>Aspects[[#This Row],[Men min]] &amp; " - " &amp; Aspects[[#This Row],[Men max]]</f>
        <v>8 - 15</v>
      </c>
      <c r="F35" s="13">
        <v>8</v>
      </c>
      <c r="G35" s="13">
        <v>15</v>
      </c>
      <c r="H35" s="16" t="str">
        <f>Aspects[[#This Row],[Cha min]] &amp; " - " &amp; Aspects[[#This Row],[Cha max]]</f>
        <v>15 - 20</v>
      </c>
      <c r="I35" s="13">
        <v>15</v>
      </c>
      <c r="J35" s="13">
        <v>20</v>
      </c>
      <c r="K35" s="14">
        <f>Aspects[[#This Row],[Phy min]]+Aspects[[#This Row],[Men min]]+Aspects[[#This Row],[Cha min]]</f>
        <v>23</v>
      </c>
      <c r="L35" s="14">
        <f>Aspects[[#This Row],[Phy max]]+Aspects[[#This Row],[Men max]]+Aspects[[#This Row],[Cha max]]</f>
        <v>48</v>
      </c>
      <c r="M35" s="14">
        <f>MAX(Aspects[[#This Row],[Max stats]]-Aspects[[#This Row],[Min stats]],0)</f>
        <v>25</v>
      </c>
      <c r="N35" s="12">
        <f>ROUNDUP(AVERAGE(Aspects[[#This Row],[Phy min]:[Phy max]])*WPHYSIC+AVERAGE(Aspects[[#This Row],[Men min]:[Men max]])*WMENTAL+AVERAGE(Aspects[[#This Row],[Cha min]:[Cha max]])*WCHARAC,0)</f>
        <v>9</v>
      </c>
      <c r="O35" s="2" t="s">
        <v>43</v>
      </c>
      <c r="P35" s="1" t="s">
        <v>5</v>
      </c>
      <c r="Q35" s="10" t="str">
        <f>IFERROR(VLOOKUP(Aspects[[#This Row],[Alignement]],Alignement[],2,FALSE),"")</f>
        <v>Neutre</v>
      </c>
      <c r="R35" s="10" t="str">
        <f>IFERROR(VLOOKUP(Aspects[[#This Row],[Alignement]],Alignement[],3,FALSE),"")</f>
        <v>Neutre</v>
      </c>
      <c r="S35" s="8">
        <f>IF(Aspects[[#This Row],[Men min]]&lt;8,0,1)</f>
        <v>1</v>
      </c>
      <c r="T35" s="8">
        <f>IF(OR(AND(Aspects[[#This Row],[Min stats]]&lt;=35,Aspects[[#This Row],[Loyauté]]&lt;&gt;"Loyal"),AND(Aspects[[#This Row],[Min stats]]&lt;=25,Aspects[[#This Row],[Loyauté]]="Loyal")),1,0)</f>
        <v>1</v>
      </c>
      <c r="U35" s="8">
        <f>IF(Aspects[[#This Row],[Max stats]]&gt;=43,1,0)</f>
        <v>1</v>
      </c>
      <c r="V35" s="8">
        <f>IF(OR(AND(Aspects[[#This Row],[Range stats]]&gt;=15,Aspects[[#This Row],[Range stats]]&lt;=27,Aspects[[#This Row],[Loyauté]]&lt;&gt;"Loyal"),AND(Aspects[[#This Row],[Range stats]]&gt;=27,Aspects[[#This Row],[Range stats]]&lt;=40,Aspects[[#This Row],[Loyauté]]="Loyal")),1,0)</f>
        <v>1</v>
      </c>
      <c r="W35" s="9"/>
    </row>
    <row r="36" spans="1:23" x14ac:dyDescent="0.25">
      <c r="A36" s="1" t="s">
        <v>61</v>
      </c>
      <c r="B36" s="16" t="str">
        <f>Aspects[[#This Row],[Phy min]] &amp; " - " &amp; Aspects[[#This Row],[Phy max]]</f>
        <v>12 - 28</v>
      </c>
      <c r="C36" s="13">
        <v>12</v>
      </c>
      <c r="D36" s="13">
        <v>28</v>
      </c>
      <c r="E36" s="16" t="str">
        <f>Aspects[[#This Row],[Men min]] &amp; " - " &amp; Aspects[[#This Row],[Men max]]</f>
        <v>0 - 12</v>
      </c>
      <c r="F36" s="13">
        <v>0</v>
      </c>
      <c r="G36" s="13">
        <v>12</v>
      </c>
      <c r="H36" s="16" t="str">
        <f>Aspects[[#This Row],[Cha min]] &amp; " - " &amp; Aspects[[#This Row],[Cha max]]</f>
        <v>10 - 20</v>
      </c>
      <c r="I36" s="13">
        <v>10</v>
      </c>
      <c r="J36" s="13">
        <v>20</v>
      </c>
      <c r="K36" s="14">
        <f>Aspects[[#This Row],[Phy min]]+Aspects[[#This Row],[Men min]]+Aspects[[#This Row],[Cha min]]</f>
        <v>22</v>
      </c>
      <c r="L36" s="14">
        <f>Aspects[[#This Row],[Phy max]]+Aspects[[#This Row],[Men max]]+Aspects[[#This Row],[Cha max]]</f>
        <v>60</v>
      </c>
      <c r="M36" s="14">
        <f>MAX(Aspects[[#This Row],[Max stats]]-Aspects[[#This Row],[Min stats]],0)</f>
        <v>38</v>
      </c>
      <c r="N36" s="12">
        <f>ROUNDUP(AVERAGE(Aspects[[#This Row],[Phy min]:[Phy max]])*WPHYSIC+AVERAGE(Aspects[[#This Row],[Men min]:[Men max]])*WMENTAL+AVERAGE(Aspects[[#This Row],[Cha min]:[Cha max]])*WCHARAC,0)</f>
        <v>9</v>
      </c>
      <c r="O36" s="2" t="s">
        <v>37</v>
      </c>
      <c r="P36" s="1" t="s">
        <v>11</v>
      </c>
      <c r="Q36" s="10" t="str">
        <f>IFERROR(VLOOKUP(Aspects[[#This Row],[Alignement]],Alignement[],2,FALSE),"")</f>
        <v>Mauvais</v>
      </c>
      <c r="R36" s="10" t="str">
        <f>IFERROR(VLOOKUP(Aspects[[#This Row],[Alignement]],Alignement[],3,FALSE),"")</f>
        <v>Loyal</v>
      </c>
      <c r="S36" s="8">
        <f>IF(Aspects[[#This Row],[Men min]]&lt;8,0,1)</f>
        <v>0</v>
      </c>
      <c r="T36" s="8">
        <f>IF(OR(AND(Aspects[[#This Row],[Min stats]]&lt;=35,Aspects[[#This Row],[Loyauté]]&lt;&gt;"Loyal"),AND(Aspects[[#This Row],[Min stats]]&lt;=25,Aspects[[#This Row],[Loyauté]]="Loyal")),1,0)</f>
        <v>1</v>
      </c>
      <c r="U36" s="8">
        <f>IF(Aspects[[#This Row],[Max stats]]&gt;=43,1,0)</f>
        <v>1</v>
      </c>
      <c r="V36" s="8">
        <f>IF(OR(AND(Aspects[[#This Row],[Range stats]]&gt;=15,Aspects[[#This Row],[Range stats]]&lt;=27,Aspects[[#This Row],[Loyauté]]&lt;&gt;"Loyal"),AND(Aspects[[#This Row],[Range stats]]&gt;=27,Aspects[[#This Row],[Range stats]]&lt;=40,Aspects[[#This Row],[Loyauté]]="Loyal")),1,0)</f>
        <v>1</v>
      </c>
      <c r="W36" s="9"/>
    </row>
    <row r="37" spans="1:23" x14ac:dyDescent="0.25">
      <c r="A37" t="s">
        <v>45</v>
      </c>
      <c r="B37" s="16" t="str">
        <f>Aspects[[#This Row],[Phy min]] &amp; " - " &amp; Aspects[[#This Row],[Phy max]]</f>
        <v>8 - 18</v>
      </c>
      <c r="C37" s="13">
        <v>8</v>
      </c>
      <c r="D37" s="13">
        <v>18</v>
      </c>
      <c r="E37" s="16" t="str">
        <f>Aspects[[#This Row],[Men min]] &amp; " - " &amp; Aspects[[#This Row],[Men max]]</f>
        <v>10 - 18</v>
      </c>
      <c r="F37" s="13">
        <v>10</v>
      </c>
      <c r="G37" s="13">
        <v>18</v>
      </c>
      <c r="H37" s="16" t="str">
        <f>Aspects[[#This Row],[Cha min]] &amp; " - " &amp; Aspects[[#This Row],[Cha max]]</f>
        <v>12 - 20</v>
      </c>
      <c r="I37" s="13">
        <v>12</v>
      </c>
      <c r="J37" s="13">
        <v>20</v>
      </c>
      <c r="K37" s="14">
        <f>Aspects[[#This Row],[Phy min]]+Aspects[[#This Row],[Men min]]+Aspects[[#This Row],[Cha min]]</f>
        <v>30</v>
      </c>
      <c r="L37" s="14">
        <f>Aspects[[#This Row],[Phy max]]+Aspects[[#This Row],[Men max]]+Aspects[[#This Row],[Cha max]]</f>
        <v>56</v>
      </c>
      <c r="M37" s="14">
        <f>MAX(Aspects[[#This Row],[Max stats]]-Aspects[[#This Row],[Min stats]],0)</f>
        <v>26</v>
      </c>
      <c r="N37" s="12">
        <f>ROUNDUP(AVERAGE(Aspects[[#This Row],[Phy min]:[Phy max]])*WPHYSIC+AVERAGE(Aspects[[#This Row],[Men min]:[Men max]])*WMENTAL+AVERAGE(Aspects[[#This Row],[Cha min]:[Cha max]])*WCHARAC,0)</f>
        <v>10</v>
      </c>
      <c r="O37" s="2" t="s">
        <v>42</v>
      </c>
      <c r="P37" s="1" t="s">
        <v>4</v>
      </c>
      <c r="Q37" s="10" t="str">
        <f>IFERROR(VLOOKUP(Aspects[[#This Row],[Alignement]],Alignement[],2,FALSE),"")</f>
        <v>Neutre</v>
      </c>
      <c r="R37" s="10" t="str">
        <f>IFERROR(VLOOKUP(Aspects[[#This Row],[Alignement]],Alignement[],3,FALSE),"")</f>
        <v>Chaotique</v>
      </c>
      <c r="S37" s="8">
        <f>IF(Aspects[[#This Row],[Men min]]&lt;8,0,1)</f>
        <v>1</v>
      </c>
      <c r="T37" s="8">
        <f>IF(OR(AND(Aspects[[#This Row],[Min stats]]&lt;=35,Aspects[[#This Row],[Loyauté]]&lt;&gt;"Loyal"),AND(Aspects[[#This Row],[Min stats]]&lt;=25,Aspects[[#This Row],[Loyauté]]="Loyal")),1,0)</f>
        <v>1</v>
      </c>
      <c r="U37" s="8">
        <f>IF(Aspects[[#This Row],[Max stats]]&gt;=43,1,0)</f>
        <v>1</v>
      </c>
      <c r="V37" s="8">
        <f>IF(OR(AND(Aspects[[#This Row],[Range stats]]&gt;=15,Aspects[[#This Row],[Range stats]]&lt;=27,Aspects[[#This Row],[Loyauté]]&lt;&gt;"Loyal"),AND(Aspects[[#This Row],[Range stats]]&gt;=27,Aspects[[#This Row],[Range stats]]&lt;=40,Aspects[[#This Row],[Loyauté]]="Loyal")),1,0)</f>
        <v>1</v>
      </c>
      <c r="W37" s="9"/>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K125"/>
  <sheetViews>
    <sheetView tabSelected="1" topLeftCell="A88" workbookViewId="0">
      <selection activeCell="A123" sqref="A123:A125"/>
    </sheetView>
  </sheetViews>
  <sheetFormatPr baseColWidth="10" defaultRowHeight="15" x14ac:dyDescent="0.25"/>
  <cols>
    <col min="1" max="1" width="25.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0.85546875" bestFit="1" customWidth="1"/>
    <col min="9" max="9" width="11.85546875" bestFit="1" customWidth="1"/>
    <col min="10" max="10" width="16.28515625" bestFit="1" customWidth="1"/>
    <col min="11" max="11" width="255.7109375" bestFit="1" customWidth="1"/>
  </cols>
  <sheetData>
    <row r="1" spans="1:11" x14ac:dyDescent="0.25">
      <c r="A1" t="s">
        <v>85</v>
      </c>
      <c r="B1" t="s">
        <v>88</v>
      </c>
      <c r="C1" t="s">
        <v>86</v>
      </c>
      <c r="D1" t="s">
        <v>87</v>
      </c>
      <c r="E1" t="s">
        <v>116</v>
      </c>
      <c r="F1" t="s">
        <v>115</v>
      </c>
      <c r="G1" t="s">
        <v>122</v>
      </c>
      <c r="H1" t="s">
        <v>208</v>
      </c>
      <c r="I1" t="s">
        <v>148</v>
      </c>
      <c r="J1" t="s">
        <v>74</v>
      </c>
      <c r="K1" t="s">
        <v>160</v>
      </c>
    </row>
    <row r="2" spans="1:11" x14ac:dyDescent="0.25">
      <c r="A2" t="s">
        <v>117</v>
      </c>
      <c r="B2" s="52">
        <v>1</v>
      </c>
      <c r="C2" t="s">
        <v>112</v>
      </c>
      <c r="D2" t="s">
        <v>113</v>
      </c>
      <c r="E2" s="12">
        <v>3</v>
      </c>
      <c r="F2" s="12" t="s">
        <v>114</v>
      </c>
      <c r="G2" s="8">
        <v>0</v>
      </c>
      <c r="H2" s="8" t="s">
        <v>209</v>
      </c>
      <c r="I2" s="8" t="s">
        <v>147</v>
      </c>
      <c r="K2" s="18" t="s">
        <v>89</v>
      </c>
    </row>
    <row r="3" spans="1:11" x14ac:dyDescent="0.25">
      <c r="A3" t="s">
        <v>118</v>
      </c>
      <c r="B3" s="52">
        <v>1</v>
      </c>
      <c r="C3" t="s">
        <v>119</v>
      </c>
      <c r="D3" t="s">
        <v>113</v>
      </c>
      <c r="E3" s="12">
        <v>2</v>
      </c>
      <c r="F3" s="12" t="s">
        <v>114</v>
      </c>
      <c r="G3" s="8">
        <v>0</v>
      </c>
      <c r="H3" s="8" t="s">
        <v>210</v>
      </c>
      <c r="I3" s="8" t="s">
        <v>150</v>
      </c>
      <c r="K3" s="18" t="s">
        <v>90</v>
      </c>
    </row>
    <row r="4" spans="1:11" x14ac:dyDescent="0.25">
      <c r="A4" t="s">
        <v>120</v>
      </c>
      <c r="B4" s="52">
        <v>1</v>
      </c>
      <c r="C4" t="s">
        <v>112</v>
      </c>
      <c r="D4" t="s">
        <v>113</v>
      </c>
      <c r="E4" s="12">
        <v>6</v>
      </c>
      <c r="F4" s="12" t="s">
        <v>114</v>
      </c>
      <c r="G4" s="8">
        <v>0</v>
      </c>
      <c r="H4" s="8" t="s">
        <v>213</v>
      </c>
      <c r="I4" s="8" t="s">
        <v>147</v>
      </c>
      <c r="K4" s="18" t="s">
        <v>91</v>
      </c>
    </row>
    <row r="5" spans="1:11" x14ac:dyDescent="0.25">
      <c r="A5" t="s">
        <v>121</v>
      </c>
      <c r="B5" s="52">
        <v>1</v>
      </c>
      <c r="C5" t="s">
        <v>119</v>
      </c>
      <c r="D5" t="s">
        <v>113</v>
      </c>
      <c r="E5" s="12">
        <v>6</v>
      </c>
      <c r="F5" s="12" t="s">
        <v>114</v>
      </c>
      <c r="G5" s="8">
        <v>1</v>
      </c>
      <c r="H5" s="8" t="s">
        <v>212</v>
      </c>
      <c r="I5" s="8" t="s">
        <v>147</v>
      </c>
      <c r="K5" s="18" t="s">
        <v>92</v>
      </c>
    </row>
    <row r="6" spans="1:11" x14ac:dyDescent="0.25">
      <c r="A6" t="s">
        <v>123</v>
      </c>
      <c r="B6" s="52">
        <v>1</v>
      </c>
      <c r="C6" t="s">
        <v>119</v>
      </c>
      <c r="D6" t="s">
        <v>113</v>
      </c>
      <c r="E6" s="12">
        <v>3</v>
      </c>
      <c r="F6" s="12" t="s">
        <v>124</v>
      </c>
      <c r="G6" s="8">
        <v>0</v>
      </c>
      <c r="H6" s="8" t="s">
        <v>215</v>
      </c>
      <c r="I6" s="8" t="s">
        <v>149</v>
      </c>
      <c r="K6" s="18" t="s">
        <v>93</v>
      </c>
    </row>
    <row r="7" spans="1:11" x14ac:dyDescent="0.25">
      <c r="A7" t="s">
        <v>244</v>
      </c>
      <c r="B7" s="52">
        <v>1</v>
      </c>
      <c r="C7" t="s">
        <v>128</v>
      </c>
      <c r="D7" t="s">
        <v>113</v>
      </c>
      <c r="E7" s="12">
        <v>3</v>
      </c>
      <c r="F7" s="12" t="s">
        <v>129</v>
      </c>
      <c r="G7" s="8">
        <v>0</v>
      </c>
      <c r="H7" s="8" t="s">
        <v>215</v>
      </c>
      <c r="I7" s="8" t="s">
        <v>151</v>
      </c>
      <c r="K7" s="18" t="s">
        <v>243</v>
      </c>
    </row>
    <row r="8" spans="1:11" x14ac:dyDescent="0.25">
      <c r="A8" t="s">
        <v>125</v>
      </c>
      <c r="B8" s="52">
        <v>1</v>
      </c>
      <c r="C8" t="s">
        <v>128</v>
      </c>
      <c r="D8" t="s">
        <v>130</v>
      </c>
      <c r="E8" s="12">
        <v>3</v>
      </c>
      <c r="F8" s="12" t="s">
        <v>129</v>
      </c>
      <c r="G8" s="8">
        <v>0</v>
      </c>
      <c r="H8" s="8" t="s">
        <v>212</v>
      </c>
      <c r="I8" s="8" t="s">
        <v>151</v>
      </c>
      <c r="K8" s="18" t="s">
        <v>230</v>
      </c>
    </row>
    <row r="9" spans="1:11" x14ac:dyDescent="0.25">
      <c r="A9" t="s">
        <v>126</v>
      </c>
      <c r="B9" s="52">
        <v>1</v>
      </c>
      <c r="C9" t="s">
        <v>112</v>
      </c>
      <c r="D9" t="s">
        <v>130</v>
      </c>
      <c r="E9" s="12">
        <v>3</v>
      </c>
      <c r="F9" s="12" t="s">
        <v>114</v>
      </c>
      <c r="G9" s="8">
        <v>0</v>
      </c>
      <c r="H9" s="8" t="s">
        <v>209</v>
      </c>
      <c r="I9" s="8" t="s">
        <v>147</v>
      </c>
      <c r="K9" s="18" t="s">
        <v>94</v>
      </c>
    </row>
    <row r="10" spans="1:11" x14ac:dyDescent="0.25">
      <c r="A10" t="s">
        <v>264</v>
      </c>
      <c r="B10" s="52">
        <v>1</v>
      </c>
      <c r="C10" t="s">
        <v>119</v>
      </c>
      <c r="D10" t="s">
        <v>130</v>
      </c>
      <c r="E10" s="12">
        <v>2</v>
      </c>
      <c r="F10" s="12" t="s">
        <v>114</v>
      </c>
      <c r="G10" s="8">
        <v>0</v>
      </c>
      <c r="H10" s="8" t="s">
        <v>212</v>
      </c>
      <c r="I10" s="8" t="s">
        <v>152</v>
      </c>
      <c r="K10" s="18" t="s">
        <v>235</v>
      </c>
    </row>
    <row r="11" spans="1:11" x14ac:dyDescent="0.25">
      <c r="B11" s="52">
        <v>1</v>
      </c>
      <c r="C11" t="s">
        <v>119</v>
      </c>
      <c r="D11" t="s">
        <v>130</v>
      </c>
      <c r="E11" s="12"/>
      <c r="F11" s="12" t="s">
        <v>114</v>
      </c>
      <c r="G11" s="8">
        <v>1</v>
      </c>
      <c r="H11" s="8"/>
      <c r="I11" s="8" t="s">
        <v>149</v>
      </c>
      <c r="J11" t="s">
        <v>127</v>
      </c>
      <c r="K11" s="18"/>
    </row>
    <row r="12" spans="1:11" x14ac:dyDescent="0.25">
      <c r="B12" s="52">
        <v>1</v>
      </c>
      <c r="C12" t="s">
        <v>128</v>
      </c>
      <c r="D12" t="s">
        <v>130</v>
      </c>
      <c r="E12" s="12"/>
      <c r="F12" s="12" t="s">
        <v>114</v>
      </c>
      <c r="G12" s="8">
        <v>0</v>
      </c>
      <c r="H12" s="8"/>
      <c r="I12" s="8" t="s">
        <v>150</v>
      </c>
      <c r="J12" t="s">
        <v>127</v>
      </c>
      <c r="K12" s="18"/>
    </row>
    <row r="13" spans="1:11" x14ac:dyDescent="0.25">
      <c r="B13" s="52">
        <v>1</v>
      </c>
      <c r="C13" t="s">
        <v>112</v>
      </c>
      <c r="D13" t="s">
        <v>130</v>
      </c>
      <c r="E13" s="12"/>
      <c r="F13" s="12" t="s">
        <v>114</v>
      </c>
      <c r="G13" s="8">
        <v>0</v>
      </c>
      <c r="H13" s="8"/>
      <c r="I13" s="8" t="s">
        <v>147</v>
      </c>
      <c r="J13" t="s">
        <v>127</v>
      </c>
      <c r="K13" s="18"/>
    </row>
    <row r="14" spans="1:11" x14ac:dyDescent="0.25">
      <c r="A14" t="s">
        <v>138</v>
      </c>
      <c r="B14" s="52">
        <v>1</v>
      </c>
      <c r="C14" t="s">
        <v>112</v>
      </c>
      <c r="D14" t="s">
        <v>131</v>
      </c>
      <c r="E14" s="12">
        <v>3</v>
      </c>
      <c r="F14" s="12" t="s">
        <v>114</v>
      </c>
      <c r="G14" s="8">
        <v>0</v>
      </c>
      <c r="H14" s="8" t="s">
        <v>209</v>
      </c>
      <c r="I14" s="8" t="s">
        <v>147</v>
      </c>
      <c r="K14" s="18" t="s">
        <v>95</v>
      </c>
    </row>
    <row r="15" spans="1:11" x14ac:dyDescent="0.25">
      <c r="A15" t="s">
        <v>139</v>
      </c>
      <c r="B15" s="52">
        <v>1</v>
      </c>
      <c r="C15" t="s">
        <v>119</v>
      </c>
      <c r="D15" t="s">
        <v>131</v>
      </c>
      <c r="E15" s="12">
        <v>2</v>
      </c>
      <c r="F15" s="12" t="s">
        <v>114</v>
      </c>
      <c r="G15" s="8">
        <v>0</v>
      </c>
      <c r="H15" s="8" t="s">
        <v>212</v>
      </c>
      <c r="I15" s="8" t="s">
        <v>152</v>
      </c>
      <c r="K15" s="18" t="s">
        <v>96</v>
      </c>
    </row>
    <row r="16" spans="1:11" x14ac:dyDescent="0.25">
      <c r="A16" t="s">
        <v>140</v>
      </c>
      <c r="B16" s="52">
        <v>1</v>
      </c>
      <c r="C16" t="s">
        <v>112</v>
      </c>
      <c r="D16" t="s">
        <v>131</v>
      </c>
      <c r="E16" s="12">
        <v>3</v>
      </c>
      <c r="F16" s="12" t="s">
        <v>114</v>
      </c>
      <c r="G16" s="8">
        <v>0</v>
      </c>
      <c r="H16" s="8" t="s">
        <v>209</v>
      </c>
      <c r="I16" s="8" t="s">
        <v>147</v>
      </c>
      <c r="K16" s="18" t="s">
        <v>97</v>
      </c>
    </row>
    <row r="17" spans="1:11" x14ac:dyDescent="0.25">
      <c r="A17" t="s">
        <v>265</v>
      </c>
      <c r="B17" s="52">
        <v>1</v>
      </c>
      <c r="C17" t="s">
        <v>128</v>
      </c>
      <c r="D17" t="s">
        <v>131</v>
      </c>
      <c r="E17" s="12">
        <v>5</v>
      </c>
      <c r="F17" s="12" t="s">
        <v>114</v>
      </c>
      <c r="G17" s="8">
        <v>0</v>
      </c>
      <c r="H17" s="8" t="s">
        <v>213</v>
      </c>
      <c r="I17" s="8" t="s">
        <v>153</v>
      </c>
      <c r="K17" s="18" t="s">
        <v>247</v>
      </c>
    </row>
    <row r="18" spans="1:11" x14ac:dyDescent="0.25">
      <c r="B18" s="52">
        <v>1</v>
      </c>
      <c r="C18" t="s">
        <v>128</v>
      </c>
      <c r="D18" t="s">
        <v>131</v>
      </c>
      <c r="E18" s="12"/>
      <c r="F18" s="12" t="s">
        <v>129</v>
      </c>
      <c r="G18" s="8">
        <v>0</v>
      </c>
      <c r="H18" s="8"/>
      <c r="I18" s="8" t="s">
        <v>152</v>
      </c>
      <c r="J18" t="s">
        <v>127</v>
      </c>
      <c r="K18" s="18"/>
    </row>
    <row r="19" spans="1:11" x14ac:dyDescent="0.25">
      <c r="A19" t="s">
        <v>266</v>
      </c>
      <c r="B19" s="52">
        <v>1</v>
      </c>
      <c r="C19" t="s">
        <v>128</v>
      </c>
      <c r="D19" t="s">
        <v>131</v>
      </c>
      <c r="E19" s="12">
        <v>3</v>
      </c>
      <c r="F19" s="12" t="s">
        <v>114</v>
      </c>
      <c r="G19" s="8">
        <v>0</v>
      </c>
      <c r="H19" s="8" t="s">
        <v>211</v>
      </c>
      <c r="I19" s="8" t="s">
        <v>153</v>
      </c>
      <c r="K19" s="18" t="s">
        <v>263</v>
      </c>
    </row>
    <row r="20" spans="1:11" x14ac:dyDescent="0.25">
      <c r="B20" s="52">
        <v>1</v>
      </c>
      <c r="C20" t="s">
        <v>119</v>
      </c>
      <c r="D20" t="s">
        <v>131</v>
      </c>
      <c r="E20" s="12"/>
      <c r="F20" s="12" t="s">
        <v>114</v>
      </c>
      <c r="G20" s="8">
        <v>0</v>
      </c>
      <c r="H20" s="8"/>
      <c r="I20" s="8" t="s">
        <v>147</v>
      </c>
      <c r="J20" t="s">
        <v>127</v>
      </c>
      <c r="K20" s="18"/>
    </row>
    <row r="21" spans="1:11" x14ac:dyDescent="0.25">
      <c r="A21" t="s">
        <v>267</v>
      </c>
      <c r="B21" s="52">
        <v>1</v>
      </c>
      <c r="C21" t="s">
        <v>112</v>
      </c>
      <c r="D21" t="s">
        <v>132</v>
      </c>
      <c r="E21" s="12">
        <v>2</v>
      </c>
      <c r="F21" s="12" t="s">
        <v>114</v>
      </c>
      <c r="G21" s="8">
        <v>0</v>
      </c>
      <c r="H21" s="8" t="s">
        <v>213</v>
      </c>
      <c r="I21" s="8" t="s">
        <v>147</v>
      </c>
      <c r="K21" s="18" t="s">
        <v>98</v>
      </c>
    </row>
    <row r="22" spans="1:11" x14ac:dyDescent="0.25">
      <c r="A22" t="s">
        <v>268</v>
      </c>
      <c r="B22" s="52">
        <v>1</v>
      </c>
      <c r="C22" t="s">
        <v>112</v>
      </c>
      <c r="D22" t="s">
        <v>132</v>
      </c>
      <c r="E22" s="12">
        <v>3</v>
      </c>
      <c r="F22" s="12" t="s">
        <v>114</v>
      </c>
      <c r="G22" s="8">
        <v>0</v>
      </c>
      <c r="H22" s="8" t="s">
        <v>213</v>
      </c>
      <c r="I22" s="8" t="s">
        <v>153</v>
      </c>
      <c r="K22" s="18" t="s">
        <v>161</v>
      </c>
    </row>
    <row r="23" spans="1:11" x14ac:dyDescent="0.25">
      <c r="A23" t="s">
        <v>141</v>
      </c>
      <c r="B23" s="52">
        <v>1</v>
      </c>
      <c r="C23" t="s">
        <v>119</v>
      </c>
      <c r="D23" t="s">
        <v>132</v>
      </c>
      <c r="E23" s="12">
        <v>3</v>
      </c>
      <c r="F23" s="12" t="s">
        <v>114</v>
      </c>
      <c r="G23" s="8">
        <v>1</v>
      </c>
      <c r="H23" s="8" t="s">
        <v>212</v>
      </c>
      <c r="I23" s="8" t="s">
        <v>151</v>
      </c>
      <c r="K23" s="18" t="s">
        <v>99</v>
      </c>
    </row>
    <row r="24" spans="1:11" x14ac:dyDescent="0.25">
      <c r="A24" t="s">
        <v>269</v>
      </c>
      <c r="B24" s="52">
        <v>1</v>
      </c>
      <c r="C24" t="s">
        <v>128</v>
      </c>
      <c r="D24" t="s">
        <v>132</v>
      </c>
      <c r="E24" s="12">
        <v>3</v>
      </c>
      <c r="F24" s="12" t="s">
        <v>129</v>
      </c>
      <c r="G24" s="8">
        <v>0</v>
      </c>
      <c r="H24" s="8" t="s">
        <v>212</v>
      </c>
      <c r="I24" s="8" t="s">
        <v>151</v>
      </c>
      <c r="K24" s="18" t="s">
        <v>100</v>
      </c>
    </row>
    <row r="25" spans="1:11" x14ac:dyDescent="0.25">
      <c r="B25" s="52">
        <v>1</v>
      </c>
      <c r="C25" t="s">
        <v>119</v>
      </c>
      <c r="D25" t="s">
        <v>132</v>
      </c>
      <c r="E25" s="12"/>
      <c r="F25" s="12" t="s">
        <v>114</v>
      </c>
      <c r="G25" s="8">
        <v>0</v>
      </c>
      <c r="H25" s="8"/>
      <c r="I25" s="8" t="s">
        <v>156</v>
      </c>
      <c r="J25" t="s">
        <v>127</v>
      </c>
      <c r="K25" s="18"/>
    </row>
    <row r="26" spans="1:11" x14ac:dyDescent="0.25">
      <c r="A26" t="s">
        <v>229</v>
      </c>
      <c r="B26" s="52">
        <v>1</v>
      </c>
      <c r="C26" t="s">
        <v>119</v>
      </c>
      <c r="D26" t="s">
        <v>132</v>
      </c>
      <c r="E26" s="12"/>
      <c r="F26" s="12" t="s">
        <v>124</v>
      </c>
      <c r="G26" s="8">
        <v>0</v>
      </c>
      <c r="H26" s="8" t="s">
        <v>215</v>
      </c>
      <c r="I26" s="8" t="s">
        <v>149</v>
      </c>
      <c r="K26" s="18" t="s">
        <v>228</v>
      </c>
    </row>
    <row r="27" spans="1:11" x14ac:dyDescent="0.25">
      <c r="A27" t="s">
        <v>142</v>
      </c>
      <c r="B27" s="52">
        <v>1</v>
      </c>
      <c r="C27" t="s">
        <v>119</v>
      </c>
      <c r="D27" t="s">
        <v>133</v>
      </c>
      <c r="E27" s="12">
        <v>2</v>
      </c>
      <c r="F27" s="12" t="s">
        <v>114</v>
      </c>
      <c r="G27" s="8">
        <v>0</v>
      </c>
      <c r="H27" s="8" t="s">
        <v>212</v>
      </c>
      <c r="I27" s="8" t="s">
        <v>150</v>
      </c>
      <c r="K27" s="18" t="s">
        <v>101</v>
      </c>
    </row>
    <row r="28" spans="1:11" x14ac:dyDescent="0.25">
      <c r="A28" t="s">
        <v>143</v>
      </c>
      <c r="B28" s="52">
        <v>1</v>
      </c>
      <c r="C28" t="s">
        <v>119</v>
      </c>
      <c r="D28" t="s">
        <v>133</v>
      </c>
      <c r="E28" s="12">
        <v>5</v>
      </c>
      <c r="F28" s="12" t="s">
        <v>114</v>
      </c>
      <c r="G28" s="8">
        <v>0</v>
      </c>
      <c r="H28" s="8" t="s">
        <v>213</v>
      </c>
      <c r="I28" s="8" t="s">
        <v>147</v>
      </c>
      <c r="K28" s="18" t="s">
        <v>102</v>
      </c>
    </row>
    <row r="29" spans="1:11" x14ac:dyDescent="0.25">
      <c r="A29" t="s">
        <v>224</v>
      </c>
      <c r="B29" s="52">
        <v>1</v>
      </c>
      <c r="C29" t="s">
        <v>119</v>
      </c>
      <c r="D29" t="s">
        <v>133</v>
      </c>
      <c r="E29" s="12">
        <v>2</v>
      </c>
      <c r="F29" s="12" t="s">
        <v>155</v>
      </c>
      <c r="G29" s="8">
        <v>0</v>
      </c>
      <c r="H29" s="8" t="s">
        <v>215</v>
      </c>
      <c r="I29" s="8" t="s">
        <v>149</v>
      </c>
      <c r="K29" s="18" t="s">
        <v>226</v>
      </c>
    </row>
    <row r="30" spans="1:11" x14ac:dyDescent="0.25">
      <c r="B30" s="52">
        <v>1</v>
      </c>
      <c r="C30" t="s">
        <v>128</v>
      </c>
      <c r="D30" t="s">
        <v>133</v>
      </c>
      <c r="E30" s="12"/>
      <c r="F30" s="12" t="s">
        <v>114</v>
      </c>
      <c r="G30" s="8">
        <v>0</v>
      </c>
      <c r="H30" s="8"/>
      <c r="I30" s="8" t="s">
        <v>150</v>
      </c>
      <c r="J30" t="s">
        <v>127</v>
      </c>
      <c r="K30" s="18"/>
    </row>
    <row r="31" spans="1:11" x14ac:dyDescent="0.25">
      <c r="A31" t="s">
        <v>225</v>
      </c>
      <c r="B31" s="52">
        <v>1</v>
      </c>
      <c r="C31" t="s">
        <v>119</v>
      </c>
      <c r="D31" t="s">
        <v>133</v>
      </c>
      <c r="E31" s="12">
        <v>3</v>
      </c>
      <c r="F31" s="12" t="s">
        <v>155</v>
      </c>
      <c r="G31" s="8">
        <v>1</v>
      </c>
      <c r="H31" s="8" t="s">
        <v>212</v>
      </c>
      <c r="I31" s="8" t="s">
        <v>149</v>
      </c>
      <c r="K31" s="18" t="s">
        <v>227</v>
      </c>
    </row>
    <row r="32" spans="1:11" x14ac:dyDescent="0.25">
      <c r="B32" s="52">
        <v>1</v>
      </c>
      <c r="C32" t="s">
        <v>112</v>
      </c>
      <c r="D32" t="s">
        <v>133</v>
      </c>
      <c r="E32" s="12"/>
      <c r="F32" s="12" t="s">
        <v>114</v>
      </c>
      <c r="G32" s="8">
        <v>0</v>
      </c>
      <c r="H32" s="8"/>
      <c r="I32" s="8" t="s">
        <v>149</v>
      </c>
      <c r="J32" t="s">
        <v>127</v>
      </c>
      <c r="K32" s="18"/>
    </row>
    <row r="33" spans="1:11" x14ac:dyDescent="0.25">
      <c r="B33" s="52">
        <v>1</v>
      </c>
      <c r="C33" t="s">
        <v>128</v>
      </c>
      <c r="D33" t="s">
        <v>133</v>
      </c>
      <c r="E33" s="12"/>
      <c r="F33" s="12" t="s">
        <v>129</v>
      </c>
      <c r="G33" s="8">
        <v>0</v>
      </c>
      <c r="H33" s="8"/>
      <c r="I33" s="8" t="s">
        <v>156</v>
      </c>
      <c r="J33" t="s">
        <v>127</v>
      </c>
      <c r="K33" s="18"/>
    </row>
    <row r="34" spans="1:11" x14ac:dyDescent="0.25">
      <c r="B34" s="52">
        <v>1</v>
      </c>
      <c r="C34" t="s">
        <v>119</v>
      </c>
      <c r="D34" t="s">
        <v>133</v>
      </c>
      <c r="E34" s="12"/>
      <c r="F34" s="12" t="s">
        <v>114</v>
      </c>
      <c r="G34" s="8">
        <v>0</v>
      </c>
      <c r="H34" s="8"/>
      <c r="I34" s="8" t="s">
        <v>156</v>
      </c>
      <c r="J34" t="s">
        <v>127</v>
      </c>
      <c r="K34" s="18"/>
    </row>
    <row r="35" spans="1:11" x14ac:dyDescent="0.25">
      <c r="A35" t="s">
        <v>144</v>
      </c>
      <c r="B35" s="52">
        <v>1</v>
      </c>
      <c r="C35" t="s">
        <v>119</v>
      </c>
      <c r="D35" t="s">
        <v>134</v>
      </c>
      <c r="E35" s="12">
        <v>3</v>
      </c>
      <c r="F35" s="12" t="s">
        <v>114</v>
      </c>
      <c r="G35" s="8">
        <v>0</v>
      </c>
      <c r="H35" s="8" t="s">
        <v>209</v>
      </c>
      <c r="I35" s="8" t="s">
        <v>150</v>
      </c>
      <c r="K35" s="18" t="s">
        <v>103</v>
      </c>
    </row>
    <row r="36" spans="1:11" x14ac:dyDescent="0.25">
      <c r="A36" t="s">
        <v>145</v>
      </c>
      <c r="B36" s="52">
        <v>1</v>
      </c>
      <c r="C36" t="s">
        <v>112</v>
      </c>
      <c r="D36" t="s">
        <v>134</v>
      </c>
      <c r="E36" s="12">
        <v>5</v>
      </c>
      <c r="F36" s="12" t="s">
        <v>114</v>
      </c>
      <c r="G36" s="8">
        <v>0</v>
      </c>
      <c r="H36" s="8" t="s">
        <v>214</v>
      </c>
      <c r="I36" s="8" t="s">
        <v>152</v>
      </c>
      <c r="K36" s="18" t="s">
        <v>104</v>
      </c>
    </row>
    <row r="37" spans="1:11" x14ac:dyDescent="0.25">
      <c r="A37" t="s">
        <v>146</v>
      </c>
      <c r="B37" s="52">
        <v>1</v>
      </c>
      <c r="C37" t="s">
        <v>119</v>
      </c>
      <c r="D37" t="s">
        <v>134</v>
      </c>
      <c r="E37" s="12">
        <v>2</v>
      </c>
      <c r="F37" s="12" t="s">
        <v>114</v>
      </c>
      <c r="G37" s="8">
        <v>1</v>
      </c>
      <c r="H37" s="8" t="s">
        <v>215</v>
      </c>
      <c r="I37" s="8" t="s">
        <v>149</v>
      </c>
      <c r="K37" s="18" t="s">
        <v>105</v>
      </c>
    </row>
    <row r="38" spans="1:11" x14ac:dyDescent="0.25">
      <c r="A38" t="s">
        <v>270</v>
      </c>
      <c r="B38" s="52">
        <v>1</v>
      </c>
      <c r="C38" t="s">
        <v>112</v>
      </c>
      <c r="D38" t="s">
        <v>134</v>
      </c>
      <c r="E38" s="12">
        <v>2</v>
      </c>
      <c r="F38" s="12" t="s">
        <v>114</v>
      </c>
      <c r="G38" s="8">
        <v>0</v>
      </c>
      <c r="H38" s="8" t="s">
        <v>212</v>
      </c>
      <c r="I38" s="8" t="s">
        <v>150</v>
      </c>
      <c r="K38" s="18" t="s">
        <v>257</v>
      </c>
    </row>
    <row r="39" spans="1:11" x14ac:dyDescent="0.25">
      <c r="B39" s="52">
        <v>1</v>
      </c>
      <c r="C39" t="s">
        <v>112</v>
      </c>
      <c r="D39" t="s">
        <v>134</v>
      </c>
      <c r="E39" s="12"/>
      <c r="F39" s="12" t="s">
        <v>114</v>
      </c>
      <c r="G39" s="8">
        <v>0</v>
      </c>
      <c r="H39" s="8"/>
      <c r="I39" s="8" t="s">
        <v>147</v>
      </c>
      <c r="J39" t="s">
        <v>127</v>
      </c>
      <c r="K39" s="18"/>
    </row>
    <row r="40" spans="1:11" x14ac:dyDescent="0.25">
      <c r="B40" s="52">
        <v>1</v>
      </c>
      <c r="C40" t="s">
        <v>128</v>
      </c>
      <c r="D40" t="s">
        <v>134</v>
      </c>
      <c r="E40" s="12"/>
      <c r="F40" s="12" t="s">
        <v>114</v>
      </c>
      <c r="G40" s="8">
        <v>0</v>
      </c>
      <c r="H40" s="8"/>
      <c r="I40" s="8" t="s">
        <v>156</v>
      </c>
      <c r="J40" t="s">
        <v>127</v>
      </c>
      <c r="K40" s="18"/>
    </row>
    <row r="41" spans="1:11" x14ac:dyDescent="0.25">
      <c r="A41" t="s">
        <v>154</v>
      </c>
      <c r="B41" s="52">
        <v>1</v>
      </c>
      <c r="C41" t="s">
        <v>119</v>
      </c>
      <c r="D41" t="s">
        <v>136</v>
      </c>
      <c r="E41" s="12">
        <v>2</v>
      </c>
      <c r="F41" s="12" t="s">
        <v>155</v>
      </c>
      <c r="G41" s="8">
        <v>0</v>
      </c>
      <c r="H41" s="8" t="s">
        <v>215</v>
      </c>
      <c r="I41" s="8" t="s">
        <v>149</v>
      </c>
      <c r="K41" s="18" t="s">
        <v>106</v>
      </c>
    </row>
    <row r="42" spans="1:11" x14ac:dyDescent="0.25">
      <c r="A42" t="s">
        <v>271</v>
      </c>
      <c r="B42" s="52">
        <v>1</v>
      </c>
      <c r="C42" t="s">
        <v>128</v>
      </c>
      <c r="D42" t="s">
        <v>136</v>
      </c>
      <c r="E42" s="12">
        <v>3</v>
      </c>
      <c r="F42" s="12" t="s">
        <v>114</v>
      </c>
      <c r="G42" s="8">
        <v>0</v>
      </c>
      <c r="H42" s="8" t="s">
        <v>215</v>
      </c>
      <c r="I42" s="8" t="s">
        <v>156</v>
      </c>
      <c r="K42" s="18" t="s">
        <v>107</v>
      </c>
    </row>
    <row r="43" spans="1:11" x14ac:dyDescent="0.25">
      <c r="A43" t="s">
        <v>272</v>
      </c>
      <c r="B43" s="52">
        <v>1</v>
      </c>
      <c r="C43" t="s">
        <v>112</v>
      </c>
      <c r="D43" t="s">
        <v>136</v>
      </c>
      <c r="E43" s="12">
        <v>3</v>
      </c>
      <c r="F43" s="12" t="s">
        <v>114</v>
      </c>
      <c r="G43" s="8">
        <v>0</v>
      </c>
      <c r="H43" s="8" t="s">
        <v>211</v>
      </c>
      <c r="I43" s="8" t="s">
        <v>147</v>
      </c>
      <c r="K43" s="18" t="s">
        <v>108</v>
      </c>
    </row>
    <row r="44" spans="1:11" x14ac:dyDescent="0.25">
      <c r="A44" t="s">
        <v>273</v>
      </c>
      <c r="B44" s="52">
        <v>1</v>
      </c>
      <c r="C44" t="s">
        <v>128</v>
      </c>
      <c r="D44" t="s">
        <v>136</v>
      </c>
      <c r="E44" s="12">
        <v>2</v>
      </c>
      <c r="F44" s="12" t="s">
        <v>114</v>
      </c>
      <c r="G44" s="8">
        <v>0</v>
      </c>
      <c r="H44" s="8" t="s">
        <v>212</v>
      </c>
      <c r="I44" s="8" t="s">
        <v>156</v>
      </c>
      <c r="K44" s="18" t="s">
        <v>261</v>
      </c>
    </row>
    <row r="45" spans="1:11" x14ac:dyDescent="0.25">
      <c r="A45" t="s">
        <v>157</v>
      </c>
      <c r="B45" s="52">
        <v>1</v>
      </c>
      <c r="C45" t="s">
        <v>119</v>
      </c>
      <c r="D45" t="s">
        <v>135</v>
      </c>
      <c r="E45" s="12">
        <v>3</v>
      </c>
      <c r="F45" s="12" t="s">
        <v>114</v>
      </c>
      <c r="G45" s="8">
        <v>1</v>
      </c>
      <c r="H45" s="8" t="s">
        <v>211</v>
      </c>
      <c r="I45" s="8" t="s">
        <v>156</v>
      </c>
      <c r="K45" s="18" t="s">
        <v>109</v>
      </c>
    </row>
    <row r="46" spans="1:11" x14ac:dyDescent="0.25">
      <c r="A46" t="s">
        <v>158</v>
      </c>
      <c r="B46" s="52">
        <v>1</v>
      </c>
      <c r="C46" t="s">
        <v>119</v>
      </c>
      <c r="D46" t="s">
        <v>135</v>
      </c>
      <c r="E46" s="12">
        <v>2</v>
      </c>
      <c r="F46" s="12" t="s">
        <v>114</v>
      </c>
      <c r="G46" s="8">
        <v>0</v>
      </c>
      <c r="H46" s="8" t="s">
        <v>213</v>
      </c>
      <c r="I46" s="8" t="s">
        <v>149</v>
      </c>
      <c r="K46" s="18" t="s">
        <v>162</v>
      </c>
    </row>
    <row r="47" spans="1:11" x14ac:dyDescent="0.25">
      <c r="A47" t="s">
        <v>159</v>
      </c>
      <c r="B47" s="52">
        <v>1</v>
      </c>
      <c r="C47" t="s">
        <v>128</v>
      </c>
      <c r="D47" t="s">
        <v>135</v>
      </c>
      <c r="E47" s="12">
        <v>4</v>
      </c>
      <c r="F47" s="12" t="s">
        <v>114</v>
      </c>
      <c r="G47" s="8">
        <v>0</v>
      </c>
      <c r="H47" s="8" t="s">
        <v>212</v>
      </c>
      <c r="I47" s="8" t="s">
        <v>152</v>
      </c>
      <c r="K47" s="18" t="s">
        <v>110</v>
      </c>
    </row>
    <row r="48" spans="1:11" x14ac:dyDescent="0.25">
      <c r="B48" s="52">
        <v>1</v>
      </c>
      <c r="C48" t="s">
        <v>112</v>
      </c>
      <c r="D48" t="s">
        <v>135</v>
      </c>
      <c r="E48" s="12"/>
      <c r="F48" s="12"/>
      <c r="G48" s="8">
        <v>0</v>
      </c>
      <c r="H48" s="8"/>
      <c r="I48" s="8" t="s">
        <v>149</v>
      </c>
      <c r="J48" t="s">
        <v>241</v>
      </c>
      <c r="K48" s="18"/>
    </row>
    <row r="49" spans="1:11" x14ac:dyDescent="0.25">
      <c r="A49" t="s">
        <v>274</v>
      </c>
      <c r="B49" s="52">
        <v>1</v>
      </c>
      <c r="C49" t="s">
        <v>128</v>
      </c>
      <c r="D49" t="s">
        <v>137</v>
      </c>
      <c r="E49" s="12">
        <v>6</v>
      </c>
      <c r="F49" s="12" t="s">
        <v>114</v>
      </c>
      <c r="G49" s="8">
        <v>0</v>
      </c>
      <c r="H49" s="8" t="s">
        <v>210</v>
      </c>
      <c r="I49" s="8" t="s">
        <v>153</v>
      </c>
      <c r="K49" s="18" t="s">
        <v>111</v>
      </c>
    </row>
    <row r="50" spans="1:11" x14ac:dyDescent="0.25">
      <c r="B50" s="52">
        <v>1</v>
      </c>
      <c r="C50" t="s">
        <v>128</v>
      </c>
      <c r="D50" t="s">
        <v>137</v>
      </c>
      <c r="E50" s="12"/>
      <c r="F50" s="12"/>
      <c r="G50" s="8">
        <v>0</v>
      </c>
      <c r="H50" s="8"/>
      <c r="I50" s="8" t="s">
        <v>147</v>
      </c>
      <c r="J50" t="s">
        <v>127</v>
      </c>
      <c r="K50" s="18"/>
    </row>
    <row r="51" spans="1:11" x14ac:dyDescent="0.25">
      <c r="B51" s="52">
        <v>1</v>
      </c>
      <c r="C51" t="s">
        <v>119</v>
      </c>
      <c r="D51" t="s">
        <v>137</v>
      </c>
      <c r="E51" s="12"/>
      <c r="F51" s="12"/>
      <c r="G51" s="8">
        <v>1</v>
      </c>
      <c r="H51" s="8"/>
      <c r="I51" s="8" t="s">
        <v>153</v>
      </c>
      <c r="J51" t="s">
        <v>127</v>
      </c>
      <c r="K51" s="18"/>
    </row>
    <row r="52" spans="1:11" x14ac:dyDescent="0.25">
      <c r="A52" t="s">
        <v>163</v>
      </c>
      <c r="B52" s="52">
        <v>2</v>
      </c>
      <c r="C52" t="s">
        <v>112</v>
      </c>
      <c r="D52" t="s">
        <v>113</v>
      </c>
      <c r="E52" s="12">
        <v>8</v>
      </c>
      <c r="F52" s="12" t="s">
        <v>114</v>
      </c>
      <c r="G52" s="8">
        <v>0</v>
      </c>
      <c r="H52" s="8" t="s">
        <v>214</v>
      </c>
      <c r="I52" s="8" t="s">
        <v>147</v>
      </c>
      <c r="K52" s="18" t="s">
        <v>217</v>
      </c>
    </row>
    <row r="53" spans="1:11" x14ac:dyDescent="0.25">
      <c r="A53" t="s">
        <v>275</v>
      </c>
      <c r="B53" s="52">
        <v>2</v>
      </c>
      <c r="C53" t="s">
        <v>119</v>
      </c>
      <c r="D53" t="s">
        <v>113</v>
      </c>
      <c r="E53" s="12">
        <v>6</v>
      </c>
      <c r="F53" s="12" t="s">
        <v>114</v>
      </c>
      <c r="G53" s="8">
        <v>1</v>
      </c>
      <c r="H53" s="8" t="s">
        <v>212</v>
      </c>
      <c r="I53" s="8" t="s">
        <v>147</v>
      </c>
      <c r="K53" s="18" t="s">
        <v>207</v>
      </c>
    </row>
    <row r="54" spans="1:11" x14ac:dyDescent="0.25">
      <c r="B54" s="52">
        <v>2</v>
      </c>
      <c r="D54" t="s">
        <v>113</v>
      </c>
      <c r="E54" s="12"/>
      <c r="F54" s="12"/>
      <c r="G54" s="8">
        <v>0</v>
      </c>
      <c r="H54" s="8"/>
      <c r="I54" s="8" t="s">
        <v>153</v>
      </c>
      <c r="J54" t="s">
        <v>127</v>
      </c>
      <c r="K54" s="18"/>
    </row>
    <row r="55" spans="1:11" x14ac:dyDescent="0.25">
      <c r="B55" s="52">
        <v>2</v>
      </c>
      <c r="D55" t="s">
        <v>113</v>
      </c>
      <c r="E55" s="12"/>
      <c r="F55" s="12"/>
      <c r="G55" s="8">
        <v>0</v>
      </c>
      <c r="H55" s="8"/>
      <c r="I55" s="8" t="s">
        <v>149</v>
      </c>
      <c r="J55" t="s">
        <v>127</v>
      </c>
      <c r="K55" s="18"/>
    </row>
    <row r="56" spans="1:11" x14ac:dyDescent="0.25">
      <c r="B56" s="52">
        <v>2</v>
      </c>
      <c r="D56" t="s">
        <v>113</v>
      </c>
      <c r="E56" s="12"/>
      <c r="F56" s="12"/>
      <c r="G56" s="8">
        <v>0</v>
      </c>
      <c r="H56" s="8"/>
      <c r="I56" s="8" t="s">
        <v>156</v>
      </c>
      <c r="J56" t="s">
        <v>127</v>
      </c>
      <c r="K56" s="18"/>
    </row>
    <row r="57" spans="1:11" x14ac:dyDescent="0.25">
      <c r="A57" t="s">
        <v>165</v>
      </c>
      <c r="B57" s="52">
        <v>2</v>
      </c>
      <c r="C57" t="s">
        <v>119</v>
      </c>
      <c r="D57" t="s">
        <v>130</v>
      </c>
      <c r="E57" s="12">
        <v>3</v>
      </c>
      <c r="F57" s="12" t="s">
        <v>114</v>
      </c>
      <c r="G57" s="8">
        <v>0</v>
      </c>
      <c r="H57" s="8" t="s">
        <v>215</v>
      </c>
      <c r="I57" s="8" t="s">
        <v>150</v>
      </c>
      <c r="K57" s="18" t="s">
        <v>164</v>
      </c>
    </row>
    <row r="58" spans="1:11" x14ac:dyDescent="0.25">
      <c r="A58" t="s">
        <v>166</v>
      </c>
      <c r="B58" s="52">
        <v>2</v>
      </c>
      <c r="C58" t="s">
        <v>112</v>
      </c>
      <c r="D58" t="s">
        <v>130</v>
      </c>
      <c r="E58" s="12">
        <v>8</v>
      </c>
      <c r="F58" s="12" t="s">
        <v>114</v>
      </c>
      <c r="G58" s="8">
        <v>0</v>
      </c>
      <c r="H58" s="8" t="s">
        <v>209</v>
      </c>
      <c r="I58" s="8" t="s">
        <v>147</v>
      </c>
      <c r="K58" s="18" t="s">
        <v>218</v>
      </c>
    </row>
    <row r="59" spans="1:11" x14ac:dyDescent="0.25">
      <c r="A59" t="s">
        <v>276</v>
      </c>
      <c r="B59" s="52">
        <v>2</v>
      </c>
      <c r="C59" t="s">
        <v>128</v>
      </c>
      <c r="D59" t="s">
        <v>130</v>
      </c>
      <c r="E59" s="12">
        <v>5</v>
      </c>
      <c r="F59" s="12" t="s">
        <v>114</v>
      </c>
      <c r="G59" s="8">
        <v>0</v>
      </c>
      <c r="H59" s="8" t="s">
        <v>210</v>
      </c>
      <c r="I59" s="8" t="s">
        <v>153</v>
      </c>
      <c r="K59" s="18" t="s">
        <v>223</v>
      </c>
    </row>
    <row r="60" spans="1:11" x14ac:dyDescent="0.25">
      <c r="B60" s="52">
        <v>2</v>
      </c>
      <c r="D60" t="s">
        <v>130</v>
      </c>
      <c r="E60" s="12"/>
      <c r="F60" s="12"/>
      <c r="G60" s="8">
        <v>0</v>
      </c>
      <c r="H60" s="8"/>
      <c r="I60" s="8" t="s">
        <v>151</v>
      </c>
      <c r="J60" t="s">
        <v>127</v>
      </c>
      <c r="K60" s="18"/>
    </row>
    <row r="61" spans="1:11" x14ac:dyDescent="0.25">
      <c r="A61" t="s">
        <v>221</v>
      </c>
      <c r="B61" s="52">
        <v>2</v>
      </c>
      <c r="C61" t="s">
        <v>119</v>
      </c>
      <c r="D61" t="s">
        <v>130</v>
      </c>
      <c r="E61" s="12">
        <v>6</v>
      </c>
      <c r="F61" s="12" t="s">
        <v>114</v>
      </c>
      <c r="G61" s="8">
        <v>0</v>
      </c>
      <c r="H61" s="8" t="s">
        <v>209</v>
      </c>
      <c r="I61" s="8" t="s">
        <v>147</v>
      </c>
      <c r="K61" s="18" t="s">
        <v>222</v>
      </c>
    </row>
    <row r="62" spans="1:11" x14ac:dyDescent="0.25">
      <c r="A62" t="s">
        <v>168</v>
      </c>
      <c r="B62" s="52">
        <v>2</v>
      </c>
      <c r="C62" t="s">
        <v>128</v>
      </c>
      <c r="D62" t="s">
        <v>131</v>
      </c>
      <c r="E62" s="12">
        <v>4</v>
      </c>
      <c r="F62" s="12" t="s">
        <v>114</v>
      </c>
      <c r="G62" s="8">
        <v>0</v>
      </c>
      <c r="H62" s="8" t="s">
        <v>212</v>
      </c>
      <c r="I62" s="8" t="s">
        <v>152</v>
      </c>
      <c r="K62" s="18" t="s">
        <v>167</v>
      </c>
    </row>
    <row r="63" spans="1:11" x14ac:dyDescent="0.25">
      <c r="A63" t="s">
        <v>169</v>
      </c>
      <c r="B63" s="52">
        <v>2</v>
      </c>
      <c r="C63" t="s">
        <v>112</v>
      </c>
      <c r="D63" t="s">
        <v>131</v>
      </c>
      <c r="E63" s="12">
        <v>8</v>
      </c>
      <c r="F63" s="12" t="s">
        <v>114</v>
      </c>
      <c r="G63" s="8">
        <v>0</v>
      </c>
      <c r="H63" s="8" t="s">
        <v>212</v>
      </c>
      <c r="I63" s="8" t="s">
        <v>147</v>
      </c>
      <c r="K63" s="18" t="s">
        <v>216</v>
      </c>
    </row>
    <row r="64" spans="1:11" x14ac:dyDescent="0.25">
      <c r="B64" s="52">
        <v>2</v>
      </c>
      <c r="D64" t="s">
        <v>131</v>
      </c>
      <c r="E64" s="12"/>
      <c r="F64" s="12"/>
      <c r="G64" s="8">
        <v>0</v>
      </c>
      <c r="H64" s="8"/>
      <c r="I64" s="8" t="s">
        <v>150</v>
      </c>
      <c r="J64" t="s">
        <v>127</v>
      </c>
      <c r="K64" s="18"/>
    </row>
    <row r="65" spans="1:11" x14ac:dyDescent="0.25">
      <c r="A65" t="s">
        <v>277</v>
      </c>
      <c r="B65" s="52">
        <v>2</v>
      </c>
      <c r="C65" t="s">
        <v>128</v>
      </c>
      <c r="D65" t="s">
        <v>131</v>
      </c>
      <c r="E65" s="12">
        <v>4</v>
      </c>
      <c r="F65" s="12" t="s">
        <v>114</v>
      </c>
      <c r="G65" s="8">
        <v>0</v>
      </c>
      <c r="H65" s="8" t="s">
        <v>213</v>
      </c>
      <c r="I65" s="8" t="s">
        <v>153</v>
      </c>
      <c r="K65" s="18" t="s">
        <v>262</v>
      </c>
    </row>
    <row r="66" spans="1:11" x14ac:dyDescent="0.25">
      <c r="A66" t="s">
        <v>278</v>
      </c>
      <c r="B66" s="52">
        <v>2</v>
      </c>
      <c r="C66" t="s">
        <v>119</v>
      </c>
      <c r="D66" t="s">
        <v>131</v>
      </c>
      <c r="E66" s="12">
        <v>6</v>
      </c>
      <c r="F66" s="12" t="s">
        <v>114</v>
      </c>
      <c r="G66" s="8">
        <v>1</v>
      </c>
      <c r="H66" s="8" t="s">
        <v>212</v>
      </c>
      <c r="I66" s="8" t="s">
        <v>147</v>
      </c>
      <c r="K66" s="18" t="s">
        <v>236</v>
      </c>
    </row>
    <row r="67" spans="1:11" x14ac:dyDescent="0.25">
      <c r="A67" t="s">
        <v>279</v>
      </c>
      <c r="B67" s="52">
        <v>2</v>
      </c>
      <c r="C67" t="s">
        <v>119</v>
      </c>
      <c r="D67" t="s">
        <v>132</v>
      </c>
      <c r="E67" s="12">
        <v>5</v>
      </c>
      <c r="F67" s="12" t="s">
        <v>114</v>
      </c>
      <c r="G67" s="8">
        <v>1</v>
      </c>
      <c r="H67" s="8" t="s">
        <v>213</v>
      </c>
      <c r="I67" s="8" t="s">
        <v>156</v>
      </c>
      <c r="K67" s="18" t="s">
        <v>171</v>
      </c>
    </row>
    <row r="68" spans="1:11" x14ac:dyDescent="0.25">
      <c r="A68" t="s">
        <v>280</v>
      </c>
      <c r="B68" s="52">
        <v>2</v>
      </c>
      <c r="C68" t="s">
        <v>112</v>
      </c>
      <c r="D68" t="s">
        <v>132</v>
      </c>
      <c r="E68" s="12">
        <v>4</v>
      </c>
      <c r="F68" s="12" t="s">
        <v>114</v>
      </c>
      <c r="G68" s="8">
        <v>0</v>
      </c>
      <c r="H68" s="8" t="s">
        <v>212</v>
      </c>
      <c r="I68" s="8" t="s">
        <v>150</v>
      </c>
      <c r="K68" s="18" t="s">
        <v>170</v>
      </c>
    </row>
    <row r="69" spans="1:11" x14ac:dyDescent="0.25">
      <c r="B69" s="52">
        <v>2</v>
      </c>
      <c r="D69" t="s">
        <v>132</v>
      </c>
      <c r="E69" s="12"/>
      <c r="F69" s="12"/>
      <c r="G69" s="8">
        <v>0</v>
      </c>
      <c r="H69" s="8"/>
      <c r="I69" s="8" t="s">
        <v>153</v>
      </c>
      <c r="J69" t="s">
        <v>127</v>
      </c>
      <c r="K69" s="18"/>
    </row>
    <row r="70" spans="1:11" x14ac:dyDescent="0.25">
      <c r="B70" s="52">
        <v>2</v>
      </c>
      <c r="D70" t="s">
        <v>132</v>
      </c>
      <c r="E70" s="12"/>
      <c r="F70" s="12"/>
      <c r="G70" s="8">
        <v>0</v>
      </c>
      <c r="H70" s="8"/>
      <c r="I70" s="8" t="s">
        <v>156</v>
      </c>
      <c r="J70" t="s">
        <v>127</v>
      </c>
      <c r="K70" s="18"/>
    </row>
    <row r="71" spans="1:11" x14ac:dyDescent="0.25">
      <c r="B71" s="52">
        <v>2</v>
      </c>
      <c r="D71" t="s">
        <v>132</v>
      </c>
      <c r="E71" s="12"/>
      <c r="F71" s="12"/>
      <c r="G71" s="8">
        <v>0</v>
      </c>
      <c r="H71" s="8"/>
      <c r="I71" s="8" t="s">
        <v>152</v>
      </c>
      <c r="J71" t="s">
        <v>127</v>
      </c>
      <c r="K71" s="18"/>
    </row>
    <row r="72" spans="1:11" x14ac:dyDescent="0.25">
      <c r="A72" t="s">
        <v>281</v>
      </c>
      <c r="B72" s="52">
        <v>2</v>
      </c>
      <c r="C72" t="s">
        <v>128</v>
      </c>
      <c r="D72" t="s">
        <v>133</v>
      </c>
      <c r="E72" s="12">
        <v>5</v>
      </c>
      <c r="F72" s="12" t="s">
        <v>114</v>
      </c>
      <c r="G72" s="8">
        <v>0</v>
      </c>
      <c r="H72" s="8" t="s">
        <v>213</v>
      </c>
      <c r="I72" s="8" t="s">
        <v>153</v>
      </c>
      <c r="K72" s="18" t="s">
        <v>183</v>
      </c>
    </row>
    <row r="73" spans="1:11" x14ac:dyDescent="0.25">
      <c r="A73" t="s">
        <v>238</v>
      </c>
      <c r="B73" s="52">
        <v>2</v>
      </c>
      <c r="C73" t="s">
        <v>119</v>
      </c>
      <c r="D73" t="s">
        <v>133</v>
      </c>
      <c r="E73" s="12">
        <v>3</v>
      </c>
      <c r="F73" s="12" t="s">
        <v>114</v>
      </c>
      <c r="G73" s="8">
        <v>1</v>
      </c>
      <c r="H73" s="8" t="s">
        <v>213</v>
      </c>
      <c r="I73" s="8" t="s">
        <v>149</v>
      </c>
      <c r="K73" s="18" t="s">
        <v>237</v>
      </c>
    </row>
    <row r="74" spans="1:11" x14ac:dyDescent="0.25">
      <c r="A74" t="s">
        <v>182</v>
      </c>
      <c r="B74" s="52">
        <v>2</v>
      </c>
      <c r="C74" t="s">
        <v>119</v>
      </c>
      <c r="D74" t="s">
        <v>133</v>
      </c>
      <c r="E74" s="12">
        <v>3</v>
      </c>
      <c r="F74" s="12" t="s">
        <v>114</v>
      </c>
      <c r="G74" s="8">
        <v>0</v>
      </c>
      <c r="H74" s="8" t="s">
        <v>212</v>
      </c>
      <c r="I74" s="8" t="s">
        <v>150</v>
      </c>
      <c r="K74" s="18" t="s">
        <v>172</v>
      </c>
    </row>
    <row r="75" spans="1:11" x14ac:dyDescent="0.25">
      <c r="A75" t="s">
        <v>181</v>
      </c>
      <c r="B75" s="52">
        <v>2</v>
      </c>
      <c r="C75" t="s">
        <v>119</v>
      </c>
      <c r="D75" t="s">
        <v>133</v>
      </c>
      <c r="E75" s="12">
        <v>4</v>
      </c>
      <c r="F75" s="12" t="s">
        <v>114</v>
      </c>
      <c r="G75" s="8">
        <v>0</v>
      </c>
      <c r="H75" s="8" t="s">
        <v>212</v>
      </c>
      <c r="I75" s="8" t="s">
        <v>150</v>
      </c>
      <c r="K75" s="18" t="s">
        <v>173</v>
      </c>
    </row>
    <row r="76" spans="1:11" x14ac:dyDescent="0.25">
      <c r="B76" s="52">
        <v>2</v>
      </c>
      <c r="C76" t="s">
        <v>112</v>
      </c>
      <c r="D76" t="s">
        <v>133</v>
      </c>
      <c r="E76" s="12"/>
      <c r="F76" s="12"/>
      <c r="G76" s="8">
        <v>0</v>
      </c>
      <c r="H76" s="8"/>
      <c r="I76" s="8" t="s">
        <v>156</v>
      </c>
      <c r="J76" t="s">
        <v>127</v>
      </c>
      <c r="K76" s="18"/>
    </row>
    <row r="77" spans="1:11" x14ac:dyDescent="0.25">
      <c r="B77" s="52">
        <v>2</v>
      </c>
      <c r="C77" t="s">
        <v>112</v>
      </c>
      <c r="D77" t="s">
        <v>133</v>
      </c>
      <c r="E77" s="12"/>
      <c r="F77" s="12"/>
      <c r="G77" s="8">
        <v>0</v>
      </c>
      <c r="H77" s="8"/>
      <c r="I77" s="8" t="s">
        <v>147</v>
      </c>
      <c r="J77" t="s">
        <v>127</v>
      </c>
      <c r="K77" s="18"/>
    </row>
    <row r="78" spans="1:11" x14ac:dyDescent="0.25">
      <c r="A78" t="s">
        <v>282</v>
      </c>
      <c r="B78" s="52">
        <v>2</v>
      </c>
      <c r="C78" t="s">
        <v>119</v>
      </c>
      <c r="D78" t="s">
        <v>133</v>
      </c>
      <c r="E78" s="12">
        <v>5</v>
      </c>
      <c r="F78" s="12" t="s">
        <v>114</v>
      </c>
      <c r="G78" s="8">
        <v>1</v>
      </c>
      <c r="H78" s="8" t="s">
        <v>210</v>
      </c>
      <c r="I78" s="8" t="s">
        <v>156</v>
      </c>
      <c r="K78" s="18" t="s">
        <v>256</v>
      </c>
    </row>
    <row r="79" spans="1:11" x14ac:dyDescent="0.25">
      <c r="A79" t="s">
        <v>283</v>
      </c>
      <c r="B79" s="52">
        <v>2</v>
      </c>
      <c r="C79" t="s">
        <v>119</v>
      </c>
      <c r="D79" t="s">
        <v>134</v>
      </c>
      <c r="E79" s="12">
        <v>7</v>
      </c>
      <c r="F79" s="12" t="s">
        <v>114</v>
      </c>
      <c r="G79" s="8">
        <v>1</v>
      </c>
      <c r="H79" s="8" t="s">
        <v>211</v>
      </c>
      <c r="I79" s="8" t="s">
        <v>153</v>
      </c>
      <c r="K79" s="18" t="s">
        <v>174</v>
      </c>
    </row>
    <row r="80" spans="1:11" x14ac:dyDescent="0.25">
      <c r="A80" t="s">
        <v>284</v>
      </c>
      <c r="B80" s="52">
        <v>2</v>
      </c>
      <c r="C80" t="s">
        <v>112</v>
      </c>
      <c r="D80" t="s">
        <v>134</v>
      </c>
      <c r="E80" s="12">
        <v>4</v>
      </c>
      <c r="F80" s="12" t="s">
        <v>114</v>
      </c>
      <c r="G80" s="8">
        <v>0</v>
      </c>
      <c r="H80" s="8" t="s">
        <v>210</v>
      </c>
      <c r="I80" s="8" t="s">
        <v>150</v>
      </c>
      <c r="K80" s="18" t="s">
        <v>175</v>
      </c>
    </row>
    <row r="81" spans="1:11" x14ac:dyDescent="0.25">
      <c r="A81" t="s">
        <v>285</v>
      </c>
      <c r="B81" s="52">
        <v>2</v>
      </c>
      <c r="C81" t="s">
        <v>112</v>
      </c>
      <c r="D81" t="s">
        <v>134</v>
      </c>
      <c r="E81" s="12">
        <v>5</v>
      </c>
      <c r="F81" s="12" t="s">
        <v>114</v>
      </c>
      <c r="G81" s="8">
        <v>0</v>
      </c>
      <c r="H81" s="8" t="s">
        <v>214</v>
      </c>
      <c r="I81" s="8" t="s">
        <v>152</v>
      </c>
      <c r="K81" s="18" t="s">
        <v>176</v>
      </c>
    </row>
    <row r="82" spans="1:11" x14ac:dyDescent="0.25">
      <c r="A82" t="s">
        <v>286</v>
      </c>
      <c r="B82" s="52">
        <v>2</v>
      </c>
      <c r="C82" t="s">
        <v>128</v>
      </c>
      <c r="D82" t="s">
        <v>134</v>
      </c>
      <c r="E82" s="12">
        <v>4</v>
      </c>
      <c r="F82" s="12" t="s">
        <v>129</v>
      </c>
      <c r="G82" s="8">
        <v>0</v>
      </c>
      <c r="H82" s="8" t="s">
        <v>212</v>
      </c>
      <c r="I82" s="8" t="s">
        <v>151</v>
      </c>
      <c r="K82" s="18" t="s">
        <v>177</v>
      </c>
    </row>
    <row r="83" spans="1:11" x14ac:dyDescent="0.25">
      <c r="B83" s="52">
        <v>2</v>
      </c>
      <c r="D83" t="s">
        <v>134</v>
      </c>
      <c r="E83" s="12"/>
      <c r="F83" s="12"/>
      <c r="G83" s="8">
        <v>0</v>
      </c>
      <c r="H83" s="8"/>
      <c r="I83" s="8" t="s">
        <v>147</v>
      </c>
      <c r="J83" t="s">
        <v>127</v>
      </c>
      <c r="K83" s="18"/>
    </row>
    <row r="84" spans="1:11" x14ac:dyDescent="0.25">
      <c r="A84" t="s">
        <v>287</v>
      </c>
      <c r="B84" s="52">
        <v>2</v>
      </c>
      <c r="C84" t="s">
        <v>119</v>
      </c>
      <c r="D84" t="s">
        <v>136</v>
      </c>
      <c r="E84" s="12">
        <v>6</v>
      </c>
      <c r="F84" s="12" t="s">
        <v>114</v>
      </c>
      <c r="G84" s="8">
        <v>0</v>
      </c>
      <c r="H84" s="8" t="s">
        <v>210</v>
      </c>
      <c r="I84" s="8" t="s">
        <v>153</v>
      </c>
      <c r="K84" s="18" t="s">
        <v>219</v>
      </c>
    </row>
    <row r="85" spans="1:11" x14ac:dyDescent="0.25">
      <c r="A85" t="s">
        <v>288</v>
      </c>
      <c r="B85" s="52">
        <v>2</v>
      </c>
      <c r="C85" t="s">
        <v>128</v>
      </c>
      <c r="D85" t="s">
        <v>136</v>
      </c>
      <c r="E85" s="12">
        <v>5</v>
      </c>
      <c r="F85" s="12" t="s">
        <v>129</v>
      </c>
      <c r="G85" s="8">
        <v>0</v>
      </c>
      <c r="H85" s="8" t="s">
        <v>215</v>
      </c>
      <c r="I85" s="8" t="s">
        <v>156</v>
      </c>
      <c r="K85" s="18" t="s">
        <v>220</v>
      </c>
    </row>
    <row r="86" spans="1:11" x14ac:dyDescent="0.25">
      <c r="B86" s="52">
        <v>2</v>
      </c>
      <c r="D86" t="s">
        <v>136</v>
      </c>
      <c r="E86" s="12"/>
      <c r="F86" s="12"/>
      <c r="G86" s="8">
        <v>0</v>
      </c>
      <c r="H86" s="8"/>
      <c r="I86" s="8" t="s">
        <v>149</v>
      </c>
      <c r="J86" t="s">
        <v>127</v>
      </c>
      <c r="K86" s="18"/>
    </row>
    <row r="87" spans="1:11" x14ac:dyDescent="0.25">
      <c r="B87" s="52">
        <v>2</v>
      </c>
      <c r="D87" t="s">
        <v>136</v>
      </c>
      <c r="E87" s="12"/>
      <c r="F87" s="12"/>
      <c r="G87" s="8">
        <v>0</v>
      </c>
      <c r="H87" s="8"/>
      <c r="I87" s="8" t="s">
        <v>150</v>
      </c>
      <c r="J87" t="s">
        <v>127</v>
      </c>
      <c r="K87" s="18"/>
    </row>
    <row r="88" spans="1:11" x14ac:dyDescent="0.25">
      <c r="A88" t="s">
        <v>289</v>
      </c>
      <c r="B88" s="52">
        <v>2</v>
      </c>
      <c r="C88" t="s">
        <v>119</v>
      </c>
      <c r="D88" t="s">
        <v>135</v>
      </c>
      <c r="E88" s="12">
        <v>4</v>
      </c>
      <c r="F88" s="12" t="s">
        <v>114</v>
      </c>
      <c r="G88" s="8">
        <v>0</v>
      </c>
      <c r="H88" s="8" t="s">
        <v>212</v>
      </c>
      <c r="I88" s="8" t="s">
        <v>149</v>
      </c>
      <c r="K88" s="18" t="s">
        <v>178</v>
      </c>
    </row>
    <row r="89" spans="1:11" x14ac:dyDescent="0.25">
      <c r="B89" s="52">
        <v>2</v>
      </c>
      <c r="D89" t="s">
        <v>135</v>
      </c>
      <c r="E89" s="12"/>
      <c r="F89" s="12"/>
      <c r="G89" s="8">
        <v>0</v>
      </c>
      <c r="H89" s="8"/>
      <c r="I89" s="8" t="s">
        <v>147</v>
      </c>
      <c r="J89" t="s">
        <v>127</v>
      </c>
      <c r="K89" s="18"/>
    </row>
    <row r="90" spans="1:11" x14ac:dyDescent="0.25">
      <c r="B90" s="52">
        <v>2</v>
      </c>
      <c r="D90" t="s">
        <v>135</v>
      </c>
      <c r="E90" s="12"/>
      <c r="F90" s="12"/>
      <c r="G90" s="8">
        <v>0</v>
      </c>
      <c r="H90" s="8"/>
      <c r="I90" s="8" t="s">
        <v>149</v>
      </c>
      <c r="J90" t="s">
        <v>240</v>
      </c>
      <c r="K90" s="18"/>
    </row>
    <row r="91" spans="1:11" x14ac:dyDescent="0.25">
      <c r="B91" s="52">
        <v>2</v>
      </c>
      <c r="D91" t="s">
        <v>135</v>
      </c>
      <c r="E91" s="12"/>
      <c r="F91" s="12"/>
      <c r="G91" s="8">
        <v>0</v>
      </c>
      <c r="H91" s="8"/>
      <c r="I91" s="8" t="s">
        <v>150</v>
      </c>
      <c r="J91" t="s">
        <v>127</v>
      </c>
      <c r="K91" s="18"/>
    </row>
    <row r="92" spans="1:11" x14ac:dyDescent="0.25">
      <c r="A92" t="s">
        <v>184</v>
      </c>
      <c r="B92" s="52">
        <v>2</v>
      </c>
      <c r="C92" t="s">
        <v>119</v>
      </c>
      <c r="D92" t="s">
        <v>137</v>
      </c>
      <c r="E92" s="12">
        <v>3</v>
      </c>
      <c r="F92" s="12" t="s">
        <v>114</v>
      </c>
      <c r="G92" s="8">
        <v>0</v>
      </c>
      <c r="H92" s="8" t="s">
        <v>212</v>
      </c>
      <c r="I92" s="8" t="s">
        <v>156</v>
      </c>
      <c r="K92" s="18" t="s">
        <v>206</v>
      </c>
    </row>
    <row r="93" spans="1:11" x14ac:dyDescent="0.25">
      <c r="A93" t="s">
        <v>185</v>
      </c>
      <c r="B93" s="52">
        <v>2</v>
      </c>
      <c r="C93" t="s">
        <v>128</v>
      </c>
      <c r="D93" t="s">
        <v>137</v>
      </c>
      <c r="E93" s="12">
        <v>6</v>
      </c>
      <c r="F93" s="12" t="s">
        <v>114</v>
      </c>
      <c r="G93" s="8">
        <v>0</v>
      </c>
      <c r="H93" s="8" t="s">
        <v>215</v>
      </c>
      <c r="I93" s="8" t="s">
        <v>153</v>
      </c>
      <c r="K93" s="18" t="s">
        <v>179</v>
      </c>
    </row>
    <row r="94" spans="1:11" x14ac:dyDescent="0.25">
      <c r="A94" t="s">
        <v>186</v>
      </c>
      <c r="B94" s="52">
        <v>2</v>
      </c>
      <c r="C94" t="s">
        <v>128</v>
      </c>
      <c r="D94" t="s">
        <v>137</v>
      </c>
      <c r="E94" s="12">
        <v>4</v>
      </c>
      <c r="F94" s="12" t="s">
        <v>129</v>
      </c>
      <c r="G94" s="8">
        <v>0</v>
      </c>
      <c r="H94" s="8" t="s">
        <v>215</v>
      </c>
      <c r="I94" s="8" t="s">
        <v>153</v>
      </c>
      <c r="K94" s="18" t="s">
        <v>180</v>
      </c>
    </row>
    <row r="95" spans="1:11" x14ac:dyDescent="0.25">
      <c r="B95" s="52">
        <v>2</v>
      </c>
      <c r="D95" t="s">
        <v>137</v>
      </c>
      <c r="E95" s="12"/>
      <c r="F95" s="12"/>
      <c r="G95" s="8">
        <v>0</v>
      </c>
      <c r="H95" s="8"/>
      <c r="I95" s="8" t="s">
        <v>147</v>
      </c>
      <c r="J95" t="s">
        <v>127</v>
      </c>
      <c r="K95" s="18"/>
    </row>
    <row r="96" spans="1:11" x14ac:dyDescent="0.25">
      <c r="B96" s="52">
        <v>3</v>
      </c>
      <c r="D96" t="s">
        <v>113</v>
      </c>
      <c r="E96" s="12"/>
      <c r="F96" s="12"/>
      <c r="G96" s="8">
        <v>0</v>
      </c>
      <c r="H96" s="8"/>
      <c r="I96" s="8" t="s">
        <v>150</v>
      </c>
      <c r="J96" t="s">
        <v>127</v>
      </c>
      <c r="K96" s="18"/>
    </row>
    <row r="97" spans="1:11" x14ac:dyDescent="0.25">
      <c r="B97" s="52">
        <v>3</v>
      </c>
      <c r="D97" t="s">
        <v>113</v>
      </c>
      <c r="E97" s="12"/>
      <c r="F97" s="12"/>
      <c r="G97" s="8">
        <v>0</v>
      </c>
      <c r="H97" s="8"/>
      <c r="I97" s="8" t="s">
        <v>147</v>
      </c>
      <c r="J97" t="s">
        <v>127</v>
      </c>
      <c r="K97" s="18"/>
    </row>
    <row r="98" spans="1:11" x14ac:dyDescent="0.25">
      <c r="A98" t="s">
        <v>191</v>
      </c>
      <c r="B98" s="52">
        <v>3</v>
      </c>
      <c r="C98" t="s">
        <v>119</v>
      </c>
      <c r="D98" t="s">
        <v>113</v>
      </c>
      <c r="E98" s="12">
        <v>6</v>
      </c>
      <c r="F98" s="12" t="s">
        <v>114</v>
      </c>
      <c r="G98" s="8">
        <v>0</v>
      </c>
      <c r="H98" s="8" t="s">
        <v>211</v>
      </c>
      <c r="I98" s="8" t="s">
        <v>147</v>
      </c>
      <c r="J98" s="8"/>
      <c r="K98" s="18" t="s">
        <v>187</v>
      </c>
    </row>
    <row r="99" spans="1:11" x14ac:dyDescent="0.25">
      <c r="A99" t="s">
        <v>234</v>
      </c>
      <c r="B99" s="52">
        <v>3</v>
      </c>
      <c r="C99" t="s">
        <v>112</v>
      </c>
      <c r="D99" t="s">
        <v>130</v>
      </c>
      <c r="E99" s="12">
        <v>5</v>
      </c>
      <c r="F99" s="12" t="s">
        <v>114</v>
      </c>
      <c r="G99" s="8">
        <v>0</v>
      </c>
      <c r="H99" s="8" t="s">
        <v>211</v>
      </c>
      <c r="I99" s="8" t="s">
        <v>151</v>
      </c>
      <c r="K99" s="18" t="s">
        <v>258</v>
      </c>
    </row>
    <row r="100" spans="1:11" x14ac:dyDescent="0.25">
      <c r="A100" t="s">
        <v>233</v>
      </c>
      <c r="B100" s="52">
        <v>3</v>
      </c>
      <c r="C100" t="s">
        <v>119</v>
      </c>
      <c r="D100" t="s">
        <v>130</v>
      </c>
      <c r="E100" s="12">
        <v>6</v>
      </c>
      <c r="F100" s="12" t="s">
        <v>114</v>
      </c>
      <c r="G100" s="8">
        <v>1</v>
      </c>
      <c r="H100" s="8" t="s">
        <v>213</v>
      </c>
      <c r="I100" s="8" t="s">
        <v>153</v>
      </c>
      <c r="K100" s="18" t="s">
        <v>232</v>
      </c>
    </row>
    <row r="101" spans="1:11" x14ac:dyDescent="0.25">
      <c r="A101" t="s">
        <v>192</v>
      </c>
      <c r="B101" s="52">
        <v>3</v>
      </c>
      <c r="C101" t="s">
        <v>128</v>
      </c>
      <c r="D101" t="s">
        <v>130</v>
      </c>
      <c r="E101" s="12">
        <v>5</v>
      </c>
      <c r="F101" s="12" t="s">
        <v>114</v>
      </c>
      <c r="G101" s="8">
        <v>0</v>
      </c>
      <c r="H101" s="8" t="s">
        <v>213</v>
      </c>
      <c r="I101" s="8" t="s">
        <v>153</v>
      </c>
      <c r="J101" s="8"/>
      <c r="K101" s="18" t="s">
        <v>197</v>
      </c>
    </row>
    <row r="102" spans="1:11" x14ac:dyDescent="0.25">
      <c r="A102" t="s">
        <v>290</v>
      </c>
      <c r="B102" s="52">
        <v>3</v>
      </c>
      <c r="C102" t="s">
        <v>128</v>
      </c>
      <c r="D102" t="s">
        <v>131</v>
      </c>
      <c r="E102" s="12">
        <v>5</v>
      </c>
      <c r="F102" s="12" t="s">
        <v>129</v>
      </c>
      <c r="G102" s="8">
        <v>0</v>
      </c>
      <c r="H102" s="8" t="s">
        <v>213</v>
      </c>
      <c r="I102" s="8" t="s">
        <v>152</v>
      </c>
      <c r="K102" s="18" t="s">
        <v>252</v>
      </c>
    </row>
    <row r="103" spans="1:11" x14ac:dyDescent="0.25">
      <c r="A103" t="s">
        <v>251</v>
      </c>
      <c r="B103" s="52">
        <v>3</v>
      </c>
      <c r="C103" t="s">
        <v>119</v>
      </c>
      <c r="D103" t="s">
        <v>131</v>
      </c>
      <c r="E103" s="12">
        <v>7</v>
      </c>
      <c r="F103" s="12" t="s">
        <v>114</v>
      </c>
      <c r="G103" s="8">
        <v>1</v>
      </c>
      <c r="H103" s="8" t="s">
        <v>215</v>
      </c>
      <c r="I103" s="8" t="s">
        <v>150</v>
      </c>
      <c r="K103" s="18" t="s">
        <v>253</v>
      </c>
    </row>
    <row r="104" spans="1:11" x14ac:dyDescent="0.25">
      <c r="A104" t="s">
        <v>193</v>
      </c>
      <c r="B104" s="52">
        <v>3</v>
      </c>
      <c r="C104" t="s">
        <v>112</v>
      </c>
      <c r="D104" t="s">
        <v>131</v>
      </c>
      <c r="E104" s="12">
        <v>9</v>
      </c>
      <c r="F104" s="12" t="s">
        <v>114</v>
      </c>
      <c r="G104" s="8">
        <v>0</v>
      </c>
      <c r="H104" s="8" t="s">
        <v>209</v>
      </c>
      <c r="I104" s="8" t="s">
        <v>147</v>
      </c>
      <c r="J104" s="8"/>
      <c r="K104" s="18" t="s">
        <v>188</v>
      </c>
    </row>
    <row r="105" spans="1:11" x14ac:dyDescent="0.25">
      <c r="A105" t="s">
        <v>291</v>
      </c>
      <c r="B105" s="52">
        <v>3</v>
      </c>
      <c r="C105" t="s">
        <v>119</v>
      </c>
      <c r="D105" t="s">
        <v>132</v>
      </c>
      <c r="E105" s="12">
        <v>8</v>
      </c>
      <c r="F105" s="12" t="s">
        <v>114</v>
      </c>
      <c r="G105" s="8">
        <v>1</v>
      </c>
      <c r="H105" s="8" t="s">
        <v>211</v>
      </c>
      <c r="I105" s="8" t="s">
        <v>147</v>
      </c>
      <c r="K105" s="18" t="s">
        <v>254</v>
      </c>
    </row>
    <row r="106" spans="1:11" x14ac:dyDescent="0.25">
      <c r="B106" s="52">
        <v>3</v>
      </c>
      <c r="D106" t="s">
        <v>132</v>
      </c>
      <c r="E106" s="12"/>
      <c r="F106" s="12"/>
      <c r="G106" s="8">
        <v>0</v>
      </c>
      <c r="H106" s="8"/>
      <c r="I106" s="8" t="s">
        <v>156</v>
      </c>
      <c r="J106" t="s">
        <v>127</v>
      </c>
      <c r="K106" s="18"/>
    </row>
    <row r="107" spans="1:11" x14ac:dyDescent="0.25">
      <c r="A107" t="s">
        <v>292</v>
      </c>
      <c r="B107" s="52">
        <v>3</v>
      </c>
      <c r="C107" t="s">
        <v>112</v>
      </c>
      <c r="D107" t="s">
        <v>132</v>
      </c>
      <c r="E107" s="12">
        <v>8</v>
      </c>
      <c r="F107" s="12" t="s">
        <v>114</v>
      </c>
      <c r="G107" s="8">
        <v>0</v>
      </c>
      <c r="H107" s="8" t="s">
        <v>211</v>
      </c>
      <c r="I107" s="8" t="s">
        <v>147</v>
      </c>
      <c r="K107" s="18" t="s">
        <v>255</v>
      </c>
    </row>
    <row r="108" spans="1:11" x14ac:dyDescent="0.25">
      <c r="A108" t="s">
        <v>204</v>
      </c>
      <c r="B108" s="52">
        <v>3</v>
      </c>
      <c r="C108" t="s">
        <v>119</v>
      </c>
      <c r="D108" t="s">
        <v>132</v>
      </c>
      <c r="E108" s="12">
        <v>6</v>
      </c>
      <c r="F108" s="12" t="s">
        <v>114</v>
      </c>
      <c r="G108" s="8">
        <v>0</v>
      </c>
      <c r="H108" s="8" t="s">
        <v>212</v>
      </c>
      <c r="I108" s="8" t="s">
        <v>151</v>
      </c>
      <c r="K108" s="18" t="s">
        <v>205</v>
      </c>
    </row>
    <row r="109" spans="1:11" x14ac:dyDescent="0.25">
      <c r="B109" s="52">
        <v>3</v>
      </c>
      <c r="C109" t="s">
        <v>112</v>
      </c>
      <c r="D109" t="s">
        <v>133</v>
      </c>
      <c r="E109" s="12"/>
      <c r="F109" s="12" t="s">
        <v>114</v>
      </c>
      <c r="G109" s="8">
        <v>0</v>
      </c>
      <c r="H109" s="8"/>
      <c r="I109" s="8" t="s">
        <v>149</v>
      </c>
      <c r="J109" t="s">
        <v>127</v>
      </c>
      <c r="K109" s="18"/>
    </row>
    <row r="110" spans="1:11" x14ac:dyDescent="0.25">
      <c r="A110" t="s">
        <v>246</v>
      </c>
      <c r="B110" s="52">
        <v>3</v>
      </c>
      <c r="C110" t="s">
        <v>119</v>
      </c>
      <c r="D110" t="s">
        <v>133</v>
      </c>
      <c r="E110" s="12">
        <v>7</v>
      </c>
      <c r="F110" s="12" t="s">
        <v>114</v>
      </c>
      <c r="G110" s="8">
        <v>1</v>
      </c>
      <c r="H110" s="8" t="s">
        <v>213</v>
      </c>
      <c r="I110" s="8" t="s">
        <v>156</v>
      </c>
      <c r="K110" s="18" t="s">
        <v>250</v>
      </c>
    </row>
    <row r="111" spans="1:11" x14ac:dyDescent="0.25">
      <c r="A111" t="s">
        <v>259</v>
      </c>
      <c r="B111" s="52">
        <v>3</v>
      </c>
      <c r="C111" t="s">
        <v>119</v>
      </c>
      <c r="D111" t="s">
        <v>133</v>
      </c>
      <c r="E111" s="12">
        <v>6</v>
      </c>
      <c r="F111" s="12" t="s">
        <v>114</v>
      </c>
      <c r="G111" s="8">
        <v>0</v>
      </c>
      <c r="H111" s="8" t="s">
        <v>212</v>
      </c>
      <c r="I111" s="8" t="s">
        <v>150</v>
      </c>
      <c r="J111" s="8"/>
      <c r="K111" s="18" t="s">
        <v>260</v>
      </c>
    </row>
    <row r="112" spans="1:11" x14ac:dyDescent="0.25">
      <c r="A112" t="s">
        <v>194</v>
      </c>
      <c r="B112" s="52">
        <v>3</v>
      </c>
      <c r="C112" t="s">
        <v>119</v>
      </c>
      <c r="D112" t="s">
        <v>133</v>
      </c>
      <c r="E112" s="12"/>
      <c r="F112" s="12" t="s">
        <v>114</v>
      </c>
      <c r="G112" s="8">
        <v>0</v>
      </c>
      <c r="H112" s="8" t="s">
        <v>210</v>
      </c>
      <c r="I112" s="8" t="s">
        <v>147</v>
      </c>
      <c r="J112" s="8"/>
      <c r="K112" s="18" t="s">
        <v>189</v>
      </c>
    </row>
    <row r="113" spans="1:11" x14ac:dyDescent="0.25">
      <c r="A113" t="s">
        <v>195</v>
      </c>
      <c r="B113" s="52">
        <v>3</v>
      </c>
      <c r="C113" t="s">
        <v>128</v>
      </c>
      <c r="D113" t="s">
        <v>133</v>
      </c>
      <c r="E113" s="12">
        <v>5</v>
      </c>
      <c r="F113" s="12" t="s">
        <v>114</v>
      </c>
      <c r="G113" s="8">
        <v>0</v>
      </c>
      <c r="H113" s="8" t="s">
        <v>213</v>
      </c>
      <c r="I113" s="8" t="s">
        <v>153</v>
      </c>
      <c r="J113" s="8"/>
      <c r="K113" s="18" t="s">
        <v>231</v>
      </c>
    </row>
    <row r="114" spans="1:11" x14ac:dyDescent="0.25">
      <c r="B114" s="52">
        <v>3</v>
      </c>
      <c r="C114" t="s">
        <v>112</v>
      </c>
      <c r="D114" t="s">
        <v>134</v>
      </c>
      <c r="E114" s="12"/>
      <c r="F114" s="12"/>
      <c r="G114" s="8">
        <v>0</v>
      </c>
      <c r="H114" s="8"/>
      <c r="I114" s="8" t="s">
        <v>152</v>
      </c>
      <c r="J114" t="s">
        <v>127</v>
      </c>
      <c r="K114" s="18"/>
    </row>
    <row r="115" spans="1:11" x14ac:dyDescent="0.25">
      <c r="A115" t="s">
        <v>293</v>
      </c>
      <c r="B115" s="52">
        <v>3</v>
      </c>
      <c r="C115" t="s">
        <v>128</v>
      </c>
      <c r="D115" t="s">
        <v>134</v>
      </c>
      <c r="E115" s="12">
        <v>3</v>
      </c>
      <c r="F115" s="12" t="s">
        <v>129</v>
      </c>
      <c r="G115" s="8">
        <v>0</v>
      </c>
      <c r="H115" s="8" t="s">
        <v>210</v>
      </c>
      <c r="I115" s="8" t="s">
        <v>156</v>
      </c>
      <c r="K115" s="18" t="s">
        <v>245</v>
      </c>
    </row>
    <row r="116" spans="1:11" x14ac:dyDescent="0.25">
      <c r="B116" s="52">
        <v>3</v>
      </c>
      <c r="C116" t="s">
        <v>119</v>
      </c>
      <c r="D116" t="s">
        <v>134</v>
      </c>
      <c r="E116" s="12"/>
      <c r="F116" s="12"/>
      <c r="G116" s="8">
        <v>0</v>
      </c>
      <c r="H116" s="8"/>
      <c r="I116" s="8" t="s">
        <v>150</v>
      </c>
      <c r="J116" t="s">
        <v>127</v>
      </c>
      <c r="K116" s="18"/>
    </row>
    <row r="117" spans="1:11" x14ac:dyDescent="0.25">
      <c r="A117" t="s">
        <v>248</v>
      </c>
      <c r="B117" s="52">
        <v>3</v>
      </c>
      <c r="C117" t="s">
        <v>128</v>
      </c>
      <c r="D117" t="s">
        <v>136</v>
      </c>
      <c r="E117" s="12">
        <v>6</v>
      </c>
      <c r="F117" s="12" t="s">
        <v>114</v>
      </c>
      <c r="G117" s="8">
        <v>0</v>
      </c>
      <c r="H117" s="8" t="s">
        <v>213</v>
      </c>
      <c r="I117" s="8" t="s">
        <v>147</v>
      </c>
      <c r="K117" s="18" t="s">
        <v>249</v>
      </c>
    </row>
    <row r="118" spans="1:11" x14ac:dyDescent="0.25">
      <c r="B118" s="52">
        <v>3</v>
      </c>
      <c r="D118" t="s">
        <v>136</v>
      </c>
      <c r="E118" s="12"/>
      <c r="F118" s="12"/>
      <c r="G118" s="8">
        <v>0</v>
      </c>
      <c r="H118" s="8"/>
      <c r="I118" s="8" t="s">
        <v>156</v>
      </c>
      <c r="J118" t="s">
        <v>127</v>
      </c>
      <c r="K118" s="18"/>
    </row>
    <row r="119" spans="1:11" x14ac:dyDescent="0.25">
      <c r="B119" s="52">
        <v>3</v>
      </c>
      <c r="D119" t="s">
        <v>136</v>
      </c>
      <c r="E119" s="12"/>
      <c r="F119" s="12"/>
      <c r="G119" s="8">
        <v>0</v>
      </c>
      <c r="H119" s="8"/>
      <c r="I119" s="8" t="s">
        <v>153</v>
      </c>
      <c r="J119" t="s">
        <v>127</v>
      </c>
      <c r="K119" s="18"/>
    </row>
    <row r="120" spans="1:11" x14ac:dyDescent="0.25">
      <c r="B120" s="52">
        <v>3</v>
      </c>
      <c r="C120" t="s">
        <v>128</v>
      </c>
      <c r="D120" t="s">
        <v>135</v>
      </c>
      <c r="E120" s="12"/>
      <c r="F120" s="12"/>
      <c r="G120" s="8">
        <v>0</v>
      </c>
      <c r="H120" s="8"/>
      <c r="I120" s="8" t="s">
        <v>149</v>
      </c>
      <c r="J120" t="s">
        <v>239</v>
      </c>
      <c r="K120" s="18"/>
    </row>
    <row r="121" spans="1:11" x14ac:dyDescent="0.25">
      <c r="B121" s="52">
        <v>3</v>
      </c>
      <c r="D121" t="s">
        <v>135</v>
      </c>
      <c r="E121" s="12"/>
      <c r="F121" s="12"/>
      <c r="G121" s="8">
        <v>0</v>
      </c>
      <c r="H121" s="8"/>
      <c r="I121" s="8" t="s">
        <v>149</v>
      </c>
      <c r="J121" t="s">
        <v>127</v>
      </c>
      <c r="K121" s="18"/>
    </row>
    <row r="122" spans="1:11" x14ac:dyDescent="0.25">
      <c r="A122" t="s">
        <v>196</v>
      </c>
      <c r="B122" s="52">
        <v>3</v>
      </c>
      <c r="C122" t="s">
        <v>119</v>
      </c>
      <c r="D122" t="s">
        <v>135</v>
      </c>
      <c r="E122" s="12">
        <v>6</v>
      </c>
      <c r="F122" s="12" t="s">
        <v>114</v>
      </c>
      <c r="G122" s="8">
        <v>0</v>
      </c>
      <c r="H122" s="8" t="s">
        <v>210</v>
      </c>
      <c r="I122" s="8" t="s">
        <v>147</v>
      </c>
      <c r="J122" s="8"/>
      <c r="K122" s="18" t="s">
        <v>190</v>
      </c>
    </row>
    <row r="123" spans="1:11" x14ac:dyDescent="0.25">
      <c r="B123" s="52">
        <v>3</v>
      </c>
      <c r="D123" t="s">
        <v>137</v>
      </c>
      <c r="E123" s="12"/>
      <c r="F123" s="12"/>
      <c r="G123" s="8">
        <v>0</v>
      </c>
      <c r="H123" s="8"/>
      <c r="I123" s="8" t="s">
        <v>153</v>
      </c>
      <c r="J123" t="s">
        <v>127</v>
      </c>
      <c r="K123" s="18"/>
    </row>
    <row r="124" spans="1:11" x14ac:dyDescent="0.25">
      <c r="B124" s="52">
        <v>3</v>
      </c>
      <c r="D124" t="s">
        <v>137</v>
      </c>
      <c r="E124" s="12"/>
      <c r="F124" s="12"/>
      <c r="G124" s="8">
        <v>0</v>
      </c>
      <c r="H124" s="8"/>
      <c r="I124" s="8" t="s">
        <v>147</v>
      </c>
      <c r="J124" t="s">
        <v>127</v>
      </c>
      <c r="K124" s="18"/>
    </row>
    <row r="125" spans="1:11" x14ac:dyDescent="0.25">
      <c r="B125" s="52">
        <v>3</v>
      </c>
      <c r="D125" t="s">
        <v>137</v>
      </c>
      <c r="E125" s="12"/>
      <c r="F125" s="12"/>
      <c r="G125" s="8">
        <v>0</v>
      </c>
      <c r="H125" s="8"/>
      <c r="I125" s="8" t="s">
        <v>156</v>
      </c>
      <c r="J125" t="s">
        <v>127</v>
      </c>
      <c r="K125" s="18"/>
    </row>
  </sheetData>
  <conditionalFormatting sqref="D2:D125">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G2:G125">
    <cfRule type="iconSet" priority="333">
      <iconSet showValue="0">
        <cfvo type="percent" val="0"/>
        <cfvo type="num" val="1"/>
        <cfvo type="num" val="1"/>
      </iconSet>
    </cfRule>
  </conditionalFormatting>
  <dataValidations count="8">
    <dataValidation type="list" allowBlank="1" showInputMessage="1" showErrorMessage="1" sqref="F123:F125 F2:F121" xr:uid="{2083E503-2689-41C9-A93E-8CE4062F1A40}">
      <formula1>"action,reaction,1 minute,10 minutes,1 heure"</formula1>
    </dataValidation>
    <dataValidation type="whole" allowBlank="1" showInputMessage="1" showErrorMessage="1" sqref="E123:E125 E2:E121" xr:uid="{277A64F4-06A3-4F8B-8D7E-7B26AC49BCF7}">
      <formula1>1</formula1>
      <formula2>12</formula2>
    </dataValidation>
    <dataValidation type="list" allowBlank="1" showInputMessage="1" showErrorMessage="1" sqref="G123:G125 G2:G121" xr:uid="{89D20B98-0352-48BB-84AB-46A7B75F233D}">
      <formula1>"0,1"</formula1>
    </dataValidation>
    <dataValidation type="list" allowBlank="1" showInputMessage="1" showErrorMessage="1" sqref="I123:I125 I2:I121" xr:uid="{EEEF00A1-B479-48E4-9738-8C1CA993F5D4}">
      <formula1>"Dégats,Buff,Debuff,Support,Tank,Mouvement,Utilitaire"</formula1>
    </dataValidation>
    <dataValidation type="list" allowBlank="1" showInputMessage="1" showErrorMessage="1" sqref="B2:B125" xr:uid="{4E8EEFDD-9A07-4C02-B158-2419EFCF1C07}">
      <formula1>"1,2,3"</formula1>
    </dataValidation>
    <dataValidation type="list" allowBlank="1" showInputMessage="1" showErrorMessage="1" sqref="D2:D125" xr:uid="{674B968A-C0D9-4833-A197-50E2FD2957BD}">
      <formula1>"Feu,Glace,Foudre,Terre,Arcane,Air,Lumière,Nature,Psy"</formula1>
    </dataValidation>
    <dataValidation type="list" allowBlank="1" showInputMessage="1" showErrorMessage="1" sqref="H2:H125" xr:uid="{AB5DB6C7-3A8C-4DCA-ABDD-C8C07B9161E5}">
      <formula1>"Toucher,Personnel,3 cases,6 cases,9 cases,12 cases,18 cases,Spécial"</formula1>
    </dataValidation>
    <dataValidation type="list" allowBlank="1" showInputMessage="1" showErrorMessage="1" sqref="C2:C125" xr:uid="{944F5A31-BB05-4287-A785-62BE9C98A95C}">
      <formula1>"Savoir,Precision,Instinct"</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Peace</cp:lastModifiedBy>
  <dcterms:created xsi:type="dcterms:W3CDTF">2024-02-07T20:50:05Z</dcterms:created>
  <dcterms:modified xsi:type="dcterms:W3CDTF">2025-12-22T08:00:27Z</dcterms:modified>
</cp:coreProperties>
</file>