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3AA8435E-C26D-4544-944D-DBBF044FF690}"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Récap!$L$7</definedName>
    <definedName name="WMENTAL">Récap!$L$5</definedName>
    <definedName name="WPHYSIC">Récap!$L$3</definedName>
  </definedNames>
  <calcPr calcId="191029" refMode="R1C1"/>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 l="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C11" i="3"/>
  <c r="C12" i="3"/>
  <c r="C13" i="3"/>
  <c r="C14" i="3"/>
  <c r="C15" i="3"/>
  <c r="C16" i="3"/>
  <c r="C17" i="3"/>
  <c r="T28" i="1" l="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D17" i="3"/>
  <c r="D14" i="3"/>
  <c r="D16" i="3"/>
  <c r="C3" i="3"/>
  <c r="D15" i="3"/>
  <c r="D13" i="3"/>
  <c r="D12" i="3"/>
  <c r="D11" i="3"/>
  <c r="C8" i="3"/>
  <c r="C7" i="3"/>
  <c r="C5" i="3"/>
  <c r="C9" i="3"/>
  <c r="C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D9" i="3"/>
  <c r="D5" i="3"/>
  <c r="D4" i="3"/>
  <c r="D7" i="3"/>
  <c r="D8" i="3"/>
  <c r="D3" i="3"/>
</calcChain>
</file>

<file path=xl/sharedStrings.xml><?xml version="1.0" encoding="utf-8"?>
<sst xmlns="http://schemas.openxmlformats.org/spreadsheetml/2006/main" count="539" uniqueCount="167">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</sst>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49" fontId="0" fillId="0" borderId="0" xfId="0" applyNumberFormat="1"/>
    <xf numFmtId="1" fontId="0" fillId="0" borderId="0" xfId="0" applyNumberFormat="1"/>
    <xf numFmtId="0" fontId="0" fillId="0" borderId="4" xfId="0" applyBorder="1"/>
    <xf numFmtId="0" fontId="0" fillId="0" borderId="6" xfId="0" applyBorder="1"/>
    <xf numFmtId="0" fontId="0" fillId="0" borderId="7" xfId="0" applyBorder="1"/>
    <xf numFmtId="0" fontId="0" fillId="0" borderId="1" xfId="0" applyBorder="1"/>
    <xf numFmtId="0" fontId="0" fillId="0" borderId="2" xfId="0" applyBorder="1"/>
    <xf numFmtId="164" fontId="0" fillId="0" borderId="3" xfId="1" applyNumberFormat="1" applyFont="1" applyBorder="1"/>
    <xf numFmtId="164" fontId="0" fillId="0" borderId="5" xfId="1" applyNumberFormat="1" applyFont="1" applyBorder="1"/>
    <xf numFmtId="164" fontId="0" fillId="0" borderId="8" xfId="1" applyNumberFormat="1" applyFont="1"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9" xfId="0" applyBorder="1"/>
    <xf numFmtId="0" fontId="0" fillId="4" borderId="0" xfId="0" applyFill="1"/>
    <xf numFmtId="0" fontId="0" fillId="5" borderId="0" xfId="0" applyFill="1"/>
    <xf numFmtId="0" fontId="0" fillId="0" borderId="0" xfId="0" applyAlignment="1">
      <alignment horizontal="left" vertical="center"/>
    </xf>
    <xf numFmtId="0" fontId="0" fillId="0" borderId="0" xfId="0" applyFill="1"/>
  </cellXfs>
  <cellStyles count="2">
    <cellStyle name="Normal" xfId="0" builtinId="0"/>
    <cellStyle name="Pourcentage" xfId="1" builtinId="5"/>
  </cellStyles>
  <dxfs count="39">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Tableau2"/>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2:I1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12:I2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Tableau2" displayName="Tableau2" ref="A1:W37" totalsRowShown="0">
  <autoFilter ref="A1:W37" xr:uid="{A8A04A0B-99E5-47DA-B000-A1B3A2D4D345}"/>
  <tableColumns count="23">
    <tableColumn id="1" xr3:uid="{10AA4F7D-76DE-41B1-9659-A5044CC3E4A8}" name="Aspect" dataDxfId="38"/>
    <tableColumn id="2" xr3:uid="{A898C7BE-0FDD-402E-8922-35117279222B}" name="Physique" dataDxfId="37"/>
    <tableColumn id="9" xr3:uid="{4FA83F93-4573-46A4-A19C-C295E9738AAD}" name="Phy min" dataDxfId="36"/>
    <tableColumn id="10" xr3:uid="{07F11B45-75A0-4510-8871-7C335ECB6F0B}" name="Phy max" dataDxfId="35"/>
    <tableColumn id="3" xr3:uid="{ECF1AC7E-5D81-4093-B97F-5FBA02904983}" name="Mental" dataDxfId="34"/>
    <tableColumn id="11" xr3:uid="{06B7B755-4C10-4F66-8420-171C42244C9F}" name="Men min" dataDxfId="33"/>
    <tableColumn id="12" xr3:uid="{56B7A928-DE0B-4793-AB8D-3D4BBC8386A7}" name="Men max" dataDxfId="32"/>
    <tableColumn id="4" xr3:uid="{EF26AB02-1B3F-4F8C-8E02-B3283BCEA532}" name="Charactère" dataDxfId="31"/>
    <tableColumn id="13" xr3:uid="{2C1AE653-EA96-4993-9C14-572C1613BF63}" name="Cha min" dataDxfId="30"/>
    <tableColumn id="14" xr3:uid="{8B692861-3522-43B8-B94A-1BE0E42BF8E6}" name="Cha max" dataDxfId="29"/>
    <tableColumn id="15" xr3:uid="{89823BD5-E43B-4180-864D-11077269E43E}" name="Min stats" dataDxfId="28">
      <calculatedColumnFormula>Tableau2[[#This Row],[Phy min]]+Tableau2[[#This Row],[Men min]]+Tableau2[[#This Row],[Cha min]]</calculatedColumnFormula>
    </tableColumn>
    <tableColumn id="18" xr3:uid="{B62942C4-D64A-480D-A6F6-64144A046503}" name="Max stats" dataDxfId="27">
      <calculatedColumnFormula>Tableau2[[#This Row],[Phy max]]+Tableau2[[#This Row],[Men max]]+Tableau2[[#This Row],[Cha max]]</calculatedColumnFormula>
    </tableColumn>
    <tableColumn id="19" xr3:uid="{F9A74C34-ACD5-4533-A2C1-D1E128D13E9B}" name="Range stats" dataDxfId="26">
      <calculatedColumnFormula>MAX(Tableau2[[#This Row],[Max stats]]-Tableau2[[#This Row],[Min stats]],0)</calculatedColumnFormula>
    </tableColumn>
    <tableColumn id="16" xr3:uid="{643E4DFB-48C1-4622-906D-01CBC394F5EC}" name="Difficulté" dataDxfId="25">
      <calculatedColumnFormula>ROUNDUP(AVERAGE(Tableau2[[#This Row],[Phy min]:[Phy max]])*WPHYSIC+AVERAGE(Tableau2[[#This Row],[Men min]:[Men max]])*WMENTAL+AVERAGE(Tableau2[[#This Row],[Cha min]:[Cha max]])*WCHARAC,0)</calculatedColumnFormula>
    </tableColumn>
    <tableColumn id="17" xr3:uid="{80B84368-B714-432D-BEE5-BA817EC9B9D3}" name="Stat améliorée" dataDxfId="24"/>
    <tableColumn id="5" xr3:uid="{E635B0CD-5AA8-4957-9B73-A5F50895628E}" name="Alignement" dataDxfId="23"/>
    <tableColumn id="6" xr3:uid="{D99196F6-6064-42E9-9F14-08286C5F2CBF}" name="Bonté" dataDxfId="22">
      <calculatedColumnFormula>IFERROR(VLOOKUP(Tableau2[[#This Row],[Alignement]],Alignement[],2,FALSE),"")</calculatedColumnFormula>
    </tableColumn>
    <tableColumn id="7" xr3:uid="{A6CC1D48-401A-4CA9-83BC-5484361F3C75}" name="Loyauté" dataDxfId="21">
      <calculatedColumnFormula>IFERROR(VLOOKUP(Tableau2[[#This Row],[Alignement]],Alignement[],3,FALSE),"")</calculatedColumnFormula>
    </tableColumn>
    <tableColumn id="8" xr3:uid="{A8B45E07-B4D8-4E13-9202-FDC79F47976E}" name="Magie" dataDxfId="20">
      <calculatedColumnFormula>IF(Tableau2[[#This Row],[Men min]]&lt;8,0,1)</calculatedColumnFormula>
    </tableColumn>
    <tableColumn id="22" xr3:uid="{4632161D-13FF-47A8-90DF-3FE97EE6945D}" name="Min" dataDxfId="19">
      <calculatedColumnFormula>IF(OR(AND(Tableau2[[#This Row],[Min stats]]&lt;=35,Tableau2[[#This Row],[Loyauté]]&lt;&gt;"Loyal"),AND(Tableau2[[#This Row],[Min stats]]&lt;=25,Tableau2[[#This Row],[Loyauté]]="Loyal")),1,0)</calculatedColumnFormula>
    </tableColumn>
    <tableColumn id="23" xr3:uid="{4D712596-335A-4F29-BEF3-2221C8A7A116}" name="Max" dataDxfId="18">
      <calculatedColumnFormula>IF(Tableau2[[#This Row],[Max stats]]&gt;=43,1,0)</calculatedColumnFormula>
    </tableColumn>
    <tableColumn id="21" xr3:uid="{93200CD2-1E11-4826-BAC0-0638EE02B6DE}" name="Range" dataDxfId="17">
      <calculatedColumnFormula>IF(OR(AND(Tableau2[[#This Row],[Range stats]]&gt;=15,Tableau2[[#This Row],[Range stats]]&lt;=27,Tableau2[[#This Row],[Loyauté]]&lt;&gt;"Loyal"),AND(Tableau2[[#This Row],[Range stats]]&gt;=27,Tableau2[[#This Row],[Range stats]]&lt;=40,Tableau2[[#This Row],[Loyauté]]="Loyal")),1,0)</calculatedColumnFormula>
    </tableColumn>
    <tableColumn id="20" xr3:uid="{2FD35BF0-9F45-439F-B8B3-6015C4C8CD4D}" name="Commentaire"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Tableau3" displayName="Tableau3" ref="A1:J72" totalsRowShown="0">
  <autoFilter ref="A1:J72" xr:uid="{238FAE0E-3C8A-48F7-A7E1-FC2E477A7D3C}"/>
  <tableColumns count="10">
    <tableColumn id="1" xr3:uid="{A2AB743F-9073-4A57-9EDA-5E0E415BD54F}" name="Sort"/>
    <tableColumn id="2" xr3:uid="{BA70F8CE-2D33-4A86-A98E-EBA3598A81C2}" name="Rang" dataDxfId="9"/>
    <tableColumn id="3" xr3:uid="{3579E514-6C5C-4F90-B910-48D47EA58876}" name="Type"/>
    <tableColumn id="4" xr3:uid="{AA9D852E-6073-4283-B04F-301D3A15EB76}" name="Element"/>
    <tableColumn id="5" xr3:uid="{B3C7CCA8-728B-479A-BA99-7E199D13407C}" name="Coût" dataDxfId="12"/>
    <tableColumn id="6" xr3:uid="{D7AF6421-4267-4A3B-AAF6-4E44AA0942F5}" name="Incantation" dataDxfId="10"/>
    <tableColumn id="8" xr3:uid="{4C25CF09-2441-41F5-9404-D55F9B6896D2}" name="Concentration" dataDxfId="11"/>
    <tableColumn id="9" xr3:uid="{A4EA893E-3AEE-43AB-818E-E2A8638CC5E0}" name="Categorie" dataDxfId="15"/>
    <tableColumn id="7" xr3:uid="{B712D949-FEF4-4A69-A7FE-B58DE93D47BB}" name="Commentaire" dataDxfId="14"/>
    <tableColumn id="10" xr3:uid="{C6861AF9-B2E3-461A-B83C-4A6BA31725E2}" name="Description" dataDxfId="1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L20"/>
  <sheetViews>
    <sheetView showGridLines="0" workbookViewId="0">
      <selection activeCell="B22" sqref="B22"/>
    </sheetView>
  </sheetViews>
  <sheetFormatPr baseColWidth="10" defaultRowHeight="15" x14ac:dyDescent="0.25"/>
  <cols>
    <col min="2" max="2" width="13.7109375" customWidth="1"/>
    <col min="3" max="3" width="6.85546875" customWidth="1"/>
    <col min="4" max="4" width="6.140625" bestFit="1" customWidth="1"/>
    <col min="5" max="5" width="12.5703125" bestFit="1" customWidth="1"/>
    <col min="6" max="7" width="12.42578125" bestFit="1" customWidth="1"/>
    <col min="8" max="8" width="8.28515625" bestFit="1" customWidth="1"/>
    <col min="9" max="9" width="7.28515625" bestFit="1" customWidth="1"/>
    <col min="10" max="10" width="12.5703125" bestFit="1" customWidth="1"/>
    <col min="11" max="11" width="18.140625" bestFit="1" customWidth="1"/>
    <col min="12" max="12" width="20.140625" bestFit="1" customWidth="1"/>
    <col min="13" max="13" width="23.140625" bestFit="1" customWidth="1"/>
    <col min="14" max="14" width="15.5703125" bestFit="1" customWidth="1"/>
    <col min="15" max="15" width="17.7109375" bestFit="1" customWidth="1"/>
    <col min="16" max="16" width="20.5703125" bestFit="1" customWidth="1"/>
    <col min="17" max="17" width="13.140625" bestFit="1" customWidth="1"/>
    <col min="18" max="18" width="15.140625" bestFit="1" customWidth="1"/>
    <col min="19" max="19" width="18.140625" bestFit="1" customWidth="1"/>
    <col min="20" max="20" width="19" bestFit="1" customWidth="1"/>
    <col min="21" max="21" width="21" bestFit="1" customWidth="1"/>
    <col min="22" max="22" width="24" bestFit="1" customWidth="1"/>
    <col min="23" max="23" width="18.140625" bestFit="1" customWidth="1"/>
    <col min="24" max="24" width="20.140625" bestFit="1" customWidth="1"/>
    <col min="25" max="25" width="23.140625" bestFit="1" customWidth="1"/>
    <col min="26" max="26" width="13.140625" bestFit="1" customWidth="1"/>
    <col min="27" max="27" width="15.140625" bestFit="1" customWidth="1"/>
    <col min="28" max="28" width="18.140625" bestFit="1" customWidth="1"/>
    <col min="29" max="29" width="19" bestFit="1" customWidth="1"/>
    <col min="30" max="30" width="21" bestFit="1" customWidth="1"/>
    <col min="31" max="31" width="24" bestFit="1" customWidth="1"/>
    <col min="32" max="32" width="19" bestFit="1" customWidth="1"/>
    <col min="33" max="33" width="21" bestFit="1" customWidth="1"/>
    <col min="34" max="34" width="24" bestFit="1" customWidth="1"/>
    <col min="35" max="35" width="18.140625" bestFit="1" customWidth="1"/>
    <col min="36" max="36" width="20.140625" bestFit="1" customWidth="1"/>
    <col min="37" max="37" width="23.140625" bestFit="1" customWidth="1"/>
  </cols>
  <sheetData>
    <row r="2" spans="2:12" ht="15.75" thickBot="1" x14ac:dyDescent="0.3">
      <c r="F2" s="11" t="s">
        <v>69</v>
      </c>
      <c r="G2" s="11" t="s">
        <v>70</v>
      </c>
    </row>
    <row r="3" spans="2:12" x14ac:dyDescent="0.25">
      <c r="B3" s="6" t="s">
        <v>15</v>
      </c>
      <c r="C3" s="7">
        <f>COUNTIF(Tableau2[Bonté],"Bon")</f>
        <v>6</v>
      </c>
      <c r="D3" s="8">
        <f>C3/SUM($C$3:$C$5)</f>
        <v>0.16666666666666666</v>
      </c>
      <c r="F3" s="11" t="s">
        <v>70</v>
      </c>
      <c r="G3" t="s">
        <v>15</v>
      </c>
      <c r="H3" t="s">
        <v>14</v>
      </c>
      <c r="I3" t="s">
        <v>5</v>
      </c>
      <c r="K3" t="s">
        <v>81</v>
      </c>
      <c r="L3" s="22">
        <v>0.15</v>
      </c>
    </row>
    <row r="4" spans="2:12" x14ac:dyDescent="0.25">
      <c r="B4" s="3" t="s">
        <v>5</v>
      </c>
      <c r="C4">
        <f>COUNTIF(Tableau2[Bonté],"Neutre")</f>
        <v>15</v>
      </c>
      <c r="D4" s="9">
        <f>C4/SUM($C$3:$C$5)</f>
        <v>0.41666666666666669</v>
      </c>
      <c r="F4" s="12" t="s">
        <v>41</v>
      </c>
      <c r="G4">
        <v>1</v>
      </c>
      <c r="H4">
        <v>1</v>
      </c>
      <c r="I4">
        <v>2</v>
      </c>
    </row>
    <row r="5" spans="2:12" ht="15.75" thickBot="1" x14ac:dyDescent="0.3">
      <c r="B5" s="4" t="s">
        <v>14</v>
      </c>
      <c r="C5" s="5">
        <f>COUNTIF(Tableau2[Bonté],"Mauvais")</f>
        <v>15</v>
      </c>
      <c r="D5" s="10">
        <f>C5/SUM($C$3:$C$5)</f>
        <v>0.41666666666666669</v>
      </c>
      <c r="F5" s="12" t="s">
        <v>38</v>
      </c>
      <c r="G5">
        <v>1</v>
      </c>
      <c r="H5">
        <v>1</v>
      </c>
      <c r="I5">
        <v>3</v>
      </c>
      <c r="K5" t="s">
        <v>82</v>
      </c>
      <c r="L5" s="22">
        <v>0.2</v>
      </c>
    </row>
    <row r="6" spans="2:12" ht="15.75" thickBot="1" x14ac:dyDescent="0.3">
      <c r="F6" s="12" t="s">
        <v>42</v>
      </c>
      <c r="G6">
        <v>1</v>
      </c>
      <c r="H6">
        <v>1</v>
      </c>
      <c r="I6">
        <v>3</v>
      </c>
    </row>
    <row r="7" spans="2:12" x14ac:dyDescent="0.25">
      <c r="B7" s="6" t="s">
        <v>12</v>
      </c>
      <c r="C7" s="7">
        <f>COUNTIF(Tableau2[Loyauté],"Loyal")</f>
        <v>9</v>
      </c>
      <c r="D7" s="8">
        <f>C7/SUM($C$7:$C$9)</f>
        <v>0.25</v>
      </c>
      <c r="F7" s="12" t="s">
        <v>37</v>
      </c>
      <c r="G7">
        <v>1</v>
      </c>
      <c r="H7">
        <v>3</v>
      </c>
      <c r="I7">
        <v>1</v>
      </c>
      <c r="K7" t="s">
        <v>83</v>
      </c>
      <c r="L7" s="22">
        <v>0.3</v>
      </c>
    </row>
    <row r="8" spans="2:12" x14ac:dyDescent="0.25">
      <c r="B8" s="3" t="s">
        <v>5</v>
      </c>
      <c r="C8">
        <f>COUNTIF(Tableau2[Loyauté],"Neutre")</f>
        <v>15</v>
      </c>
      <c r="D8" s="9">
        <f>C8/SUM($C$7:$C$9)</f>
        <v>0.41666666666666669</v>
      </c>
      <c r="F8" s="12" t="s">
        <v>40</v>
      </c>
      <c r="G8">
        <v>1</v>
      </c>
      <c r="H8">
        <v>2</v>
      </c>
      <c r="I8">
        <v>3</v>
      </c>
    </row>
    <row r="9" spans="2:12" ht="15.75" thickBot="1" x14ac:dyDescent="0.3">
      <c r="B9" s="4" t="s">
        <v>13</v>
      </c>
      <c r="C9" s="5">
        <f>COUNTIF(Tableau2[Loyauté],"Chaotique")</f>
        <v>12</v>
      </c>
      <c r="D9" s="10">
        <f>C9/SUM($C$7:$C$9)</f>
        <v>0.33333333333333331</v>
      </c>
      <c r="F9" s="12" t="s">
        <v>43</v>
      </c>
      <c r="G9">
        <v>1</v>
      </c>
      <c r="H9">
        <v>4</v>
      </c>
      <c r="I9">
        <v>1</v>
      </c>
    </row>
    <row r="10" spans="2:12" ht="15.75" thickBot="1" x14ac:dyDescent="0.3">
      <c r="F10" s="12" t="s">
        <v>39</v>
      </c>
      <c r="H10">
        <v>3</v>
      </c>
      <c r="I10">
        <v>2</v>
      </c>
    </row>
    <row r="11" spans="2:12" x14ac:dyDescent="0.25">
      <c r="B11" s="6" t="s">
        <v>37</v>
      </c>
      <c r="C11" s="7">
        <f>COUNTIF(Tableau2[Stat améliorée],"Force")</f>
        <v>5</v>
      </c>
      <c r="D11" s="8">
        <f t="shared" ref="D11:D16" si="0">C11/SUM($C$11:$C$17)</f>
        <v>0.1388888888888889</v>
      </c>
    </row>
    <row r="12" spans="2:12" x14ac:dyDescent="0.25">
      <c r="B12" s="3" t="s">
        <v>38</v>
      </c>
      <c r="C12">
        <f>COUNTIF(Tableau2[Stat améliorée],"Dextérité")</f>
        <v>5</v>
      </c>
      <c r="D12" s="9">
        <f t="shared" si="0"/>
        <v>0.1388888888888889</v>
      </c>
      <c r="F12" s="11" t="s">
        <v>69</v>
      </c>
      <c r="G12" s="11" t="s">
        <v>70</v>
      </c>
    </row>
    <row r="13" spans="2:12" x14ac:dyDescent="0.25">
      <c r="B13" s="3" t="s">
        <v>39</v>
      </c>
      <c r="C13">
        <f>COUNTIF(Tableau2[Stat améliorée],"Résilience")</f>
        <v>5</v>
      </c>
      <c r="D13" s="9">
        <f t="shared" si="0"/>
        <v>0.1388888888888889</v>
      </c>
      <c r="F13" s="11" t="s">
        <v>70</v>
      </c>
      <c r="G13" t="s">
        <v>13</v>
      </c>
      <c r="H13" t="s">
        <v>12</v>
      </c>
      <c r="I13" t="s">
        <v>5</v>
      </c>
    </row>
    <row r="14" spans="2:12" x14ac:dyDescent="0.25">
      <c r="B14" s="3" t="s">
        <v>40</v>
      </c>
      <c r="C14">
        <f>COUNTIF(Tableau2[Stat améliorée],"Intelligence")</f>
        <v>6</v>
      </c>
      <c r="D14" s="9">
        <f t="shared" si="0"/>
        <v>0.16666666666666666</v>
      </c>
      <c r="F14" s="12" t="s">
        <v>41</v>
      </c>
      <c r="H14">
        <v>1</v>
      </c>
      <c r="I14">
        <v>3</v>
      </c>
    </row>
    <row r="15" spans="2:12" x14ac:dyDescent="0.25">
      <c r="B15" s="3" t="s">
        <v>41</v>
      </c>
      <c r="C15">
        <f>COUNTIF(Tableau2[Stat améliorée],"Curiosité")</f>
        <v>4</v>
      </c>
      <c r="D15" s="9">
        <f t="shared" si="0"/>
        <v>0.1111111111111111</v>
      </c>
      <c r="F15" s="12" t="s">
        <v>38</v>
      </c>
      <c r="G15">
        <v>2</v>
      </c>
      <c r="H15">
        <v>1</v>
      </c>
      <c r="I15">
        <v>2</v>
      </c>
    </row>
    <row r="16" spans="2:12" x14ac:dyDescent="0.25">
      <c r="B16" s="3" t="s">
        <v>42</v>
      </c>
      <c r="C16">
        <f>COUNTIF(Tableau2[Stat améliorée],"Éloquence")</f>
        <v>5</v>
      </c>
      <c r="D16" s="9">
        <f t="shared" si="0"/>
        <v>0.1388888888888889</v>
      </c>
      <c r="F16" s="12" t="s">
        <v>42</v>
      </c>
      <c r="G16">
        <v>1</v>
      </c>
      <c r="H16">
        <v>2</v>
      </c>
      <c r="I16">
        <v>2</v>
      </c>
    </row>
    <row r="17" spans="2:9" ht="15.75" thickBot="1" x14ac:dyDescent="0.3">
      <c r="B17" s="4" t="s">
        <v>43</v>
      </c>
      <c r="C17" s="5">
        <f>COUNTIF(Tableau2[Stat améliorée],"Psyché")</f>
        <v>6</v>
      </c>
      <c r="D17" s="10">
        <f>C17/SUM($C$11:$C$17)</f>
        <v>0.16666666666666666</v>
      </c>
      <c r="F17" s="12" t="s">
        <v>37</v>
      </c>
      <c r="G17">
        <v>2</v>
      </c>
      <c r="H17">
        <v>1</v>
      </c>
      <c r="I17">
        <v>2</v>
      </c>
    </row>
    <row r="18" spans="2:9" x14ac:dyDescent="0.25">
      <c r="F18" s="12" t="s">
        <v>40</v>
      </c>
      <c r="G18">
        <v>3</v>
      </c>
      <c r="H18">
        <v>2</v>
      </c>
      <c r="I18">
        <v>1</v>
      </c>
    </row>
    <row r="19" spans="2:9" x14ac:dyDescent="0.25">
      <c r="F19" s="12" t="s">
        <v>43</v>
      </c>
      <c r="G19">
        <v>1</v>
      </c>
      <c r="H19">
        <v>1</v>
      </c>
      <c r="I19">
        <v>4</v>
      </c>
    </row>
    <row r="20" spans="2:9" x14ac:dyDescent="0.25">
      <c r="F20" s="12" t="s">
        <v>39</v>
      </c>
      <c r="G20">
        <v>3</v>
      </c>
      <c r="H20">
        <v>1</v>
      </c>
      <c r="I20">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S42" sqref="S42"/>
    </sheetView>
  </sheetViews>
  <sheetFormatPr baseColWidth="10" defaultRowHeight="15" x14ac:dyDescent="0.25"/>
  <cols>
    <col min="1" max="1" width="15.140625" customWidth="1"/>
    <col min="2" max="2" width="13.7109375" bestFit="1" customWidth="1"/>
    <col min="3" max="3" width="12.7109375" style="17" hidden="1" customWidth="1"/>
    <col min="4" max="4" width="13" style="17" hidden="1" customWidth="1"/>
    <col min="5" max="5" width="12" style="17" bestFit="1" customWidth="1"/>
    <col min="6" max="6" width="13.5703125" style="17" hidden="1" customWidth="1"/>
    <col min="7" max="7" width="13.85546875" style="17" hidden="1" customWidth="1"/>
    <col min="8" max="8" width="15.140625" style="17" bestFit="1" customWidth="1"/>
    <col min="9" max="9" width="12.7109375" style="17" hidden="1" customWidth="1"/>
    <col min="10" max="10" width="13" style="17" hidden="1" customWidth="1"/>
    <col min="11" max="11" width="11.42578125" style="17"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20" t="s">
        <v>33</v>
      </c>
      <c r="C1" s="17" t="s">
        <v>64</v>
      </c>
      <c r="D1" s="17" t="s">
        <v>27</v>
      </c>
      <c r="E1" s="20" t="s">
        <v>34</v>
      </c>
      <c r="F1" s="17" t="s">
        <v>28</v>
      </c>
      <c r="G1" s="17" t="s">
        <v>29</v>
      </c>
      <c r="H1" s="20" t="s">
        <v>35</v>
      </c>
      <c r="I1" s="17" t="s">
        <v>30</v>
      </c>
      <c r="J1" s="17" t="s">
        <v>31</v>
      </c>
      <c r="K1" s="16" t="s">
        <v>65</v>
      </c>
      <c r="L1" s="16" t="s">
        <v>67</v>
      </c>
      <c r="M1" s="16" t="s">
        <v>68</v>
      </c>
      <c r="N1" s="17" t="s">
        <v>77</v>
      </c>
      <c r="O1" t="s">
        <v>75</v>
      </c>
      <c r="P1" t="s">
        <v>3</v>
      </c>
      <c r="Q1" s="16" t="s">
        <v>1</v>
      </c>
      <c r="R1" s="16" t="s">
        <v>2</v>
      </c>
      <c r="S1" t="s">
        <v>36</v>
      </c>
      <c r="T1" t="s">
        <v>72</v>
      </c>
      <c r="U1" t="s">
        <v>73</v>
      </c>
      <c r="V1" t="s">
        <v>71</v>
      </c>
      <c r="W1" t="s">
        <v>74</v>
      </c>
    </row>
    <row r="2" spans="1:23" x14ac:dyDescent="0.25">
      <c r="A2" s="1" t="s">
        <v>18</v>
      </c>
      <c r="B2" s="21" t="str">
        <f>Tableau2[[#This Row],[Phy min]] &amp; " - " &amp; Tableau2[[#This Row],[Phy max]]</f>
        <v>18 - 25</v>
      </c>
      <c r="C2" s="18">
        <v>18</v>
      </c>
      <c r="D2" s="18">
        <v>25</v>
      </c>
      <c r="E2" s="21" t="str">
        <f>Tableau2[[#This Row],[Men min]] &amp; " - " &amp; Tableau2[[#This Row],[Men max]]</f>
        <v>8 - 12</v>
      </c>
      <c r="F2" s="18">
        <v>8</v>
      </c>
      <c r="G2" s="18">
        <v>12</v>
      </c>
      <c r="H2" s="21" t="str">
        <f>Tableau2[[#This Row],[Cha min]] &amp; " - " &amp; Tableau2[[#This Row],[Cha max]]</f>
        <v>8 - 12</v>
      </c>
      <c r="I2" s="18">
        <v>8</v>
      </c>
      <c r="J2" s="18">
        <v>12</v>
      </c>
      <c r="K2" s="19">
        <f>Tableau2[[#This Row],[Phy min]]+Tableau2[[#This Row],[Men min]]+Tableau2[[#This Row],[Cha min]]</f>
        <v>34</v>
      </c>
      <c r="L2" s="19">
        <f>Tableau2[[#This Row],[Phy max]]+Tableau2[[#This Row],[Men max]]+Tableau2[[#This Row],[Cha max]]</f>
        <v>49</v>
      </c>
      <c r="M2" s="19">
        <f>MAX(Tableau2[[#This Row],[Max stats]]-Tableau2[[#This Row],[Min stats]],0)</f>
        <v>15</v>
      </c>
      <c r="N2" s="17">
        <f>ROUNDUP(AVERAGE(Tableau2[[#This Row],[Phy min]:[Phy max]])*WPHYSIC+AVERAGE(Tableau2[[#This Row],[Men min]:[Men max]])*WMENTAL+AVERAGE(Tableau2[[#This Row],[Cha min]:[Cha max]])*WCHARAC,0)</f>
        <v>9</v>
      </c>
      <c r="O2" s="2" t="s">
        <v>37</v>
      </c>
      <c r="P2" s="1" t="s">
        <v>7</v>
      </c>
      <c r="Q2" s="15" t="str">
        <f>IFERROR(VLOOKUP(Tableau2[[#This Row],[Alignement]],Alignement[],2,FALSE),"")</f>
        <v>Bon</v>
      </c>
      <c r="R2" s="15" t="str">
        <f>IFERROR(VLOOKUP(Tableau2[[#This Row],[Alignement]],Alignement[],3,FALSE),"")</f>
        <v>Neutre</v>
      </c>
      <c r="S2" s="13">
        <f>IF(Tableau2[[#This Row],[Men min]]&lt;8,0,1)</f>
        <v>1</v>
      </c>
      <c r="T2" s="13">
        <f>IF(OR(AND(Tableau2[[#This Row],[Min stats]]&lt;=35,Tableau2[[#This Row],[Loyauté]]&lt;&gt;"Loyal"),AND(Tableau2[[#This Row],[Min stats]]&lt;=25,Tableau2[[#This Row],[Loyauté]]="Loyal")),1,0)</f>
        <v>1</v>
      </c>
      <c r="U2" s="13">
        <f>IF(Tableau2[[#This Row],[Max stats]]&gt;=43,1,0)</f>
        <v>1</v>
      </c>
      <c r="V2" s="13">
        <f>IF(OR(AND(Tableau2[[#This Row],[Range stats]]&gt;=15,Tableau2[[#This Row],[Range stats]]&lt;=27,Tableau2[[#This Row],[Loyauté]]&lt;&gt;"Loyal"),AND(Tableau2[[#This Row],[Range stats]]&gt;=27,Tableau2[[#This Row],[Range stats]]&lt;=40,Tableau2[[#This Row],[Loyauté]]="Loyal")),1,0)</f>
        <v>1</v>
      </c>
      <c r="W2" s="14"/>
    </row>
    <row r="3" spans="1:23" x14ac:dyDescent="0.25">
      <c r="A3" s="1" t="s">
        <v>24</v>
      </c>
      <c r="B3" s="21" t="str">
        <f>Tableau2[[#This Row],[Phy min]] &amp; " - " &amp; Tableau2[[#This Row],[Phy max]]</f>
        <v>6 - 18</v>
      </c>
      <c r="C3" s="18">
        <v>6</v>
      </c>
      <c r="D3" s="18">
        <v>18</v>
      </c>
      <c r="E3" s="21" t="str">
        <f>Tableau2[[#This Row],[Men min]] &amp; " - " &amp; Tableau2[[#This Row],[Men max]]</f>
        <v>15 - 20</v>
      </c>
      <c r="F3" s="18">
        <v>15</v>
      </c>
      <c r="G3" s="18">
        <v>20</v>
      </c>
      <c r="H3" s="21" t="str">
        <f>Tableau2[[#This Row],[Cha min]] &amp; " - " &amp; Tableau2[[#This Row],[Cha max]]</f>
        <v>10 - 20</v>
      </c>
      <c r="I3" s="18">
        <v>10</v>
      </c>
      <c r="J3" s="18">
        <v>20</v>
      </c>
      <c r="K3" s="19">
        <f>Tableau2[[#This Row],[Phy min]]+Tableau2[[#This Row],[Men min]]+Tableau2[[#This Row],[Cha min]]</f>
        <v>31</v>
      </c>
      <c r="L3" s="19">
        <f>Tableau2[[#This Row],[Phy max]]+Tableau2[[#This Row],[Men max]]+Tableau2[[#This Row],[Cha max]]</f>
        <v>58</v>
      </c>
      <c r="M3" s="19">
        <f>MAX(Tableau2[[#This Row],[Max stats]]-Tableau2[[#This Row],[Min stats]],0)</f>
        <v>27</v>
      </c>
      <c r="N3" s="17">
        <f>ROUNDUP(AVERAGE(Tableau2[[#This Row],[Phy min]:[Phy max]])*WPHYSIC+AVERAGE(Tableau2[[#This Row],[Men min]:[Men max]])*WMENTAL+AVERAGE(Tableau2[[#This Row],[Cha min]:[Cha max]])*WCHARAC,0)</f>
        <v>10</v>
      </c>
      <c r="O3" s="2" t="s">
        <v>40</v>
      </c>
      <c r="P3" s="1" t="s">
        <v>4</v>
      </c>
      <c r="Q3" s="15" t="str">
        <f>IFERROR(VLOOKUP(Tableau2[[#This Row],[Alignement]],Alignement[],2,FALSE),"")</f>
        <v>Neutre</v>
      </c>
      <c r="R3" s="15" t="str">
        <f>IFERROR(VLOOKUP(Tableau2[[#This Row],[Alignement]],Alignement[],3,FALSE),"")</f>
        <v>Chaotique</v>
      </c>
      <c r="S3" s="13">
        <f>IF(Tableau2[[#This Row],[Men min]]&lt;8,0,1)</f>
        <v>1</v>
      </c>
      <c r="T3" s="13">
        <f>IF(OR(AND(Tableau2[[#This Row],[Min stats]]&lt;=35,Tableau2[[#This Row],[Loyauté]]&lt;&gt;"Loyal"),AND(Tableau2[[#This Row],[Min stats]]&lt;=25,Tableau2[[#This Row],[Loyauté]]="Loyal")),1,0)</f>
        <v>1</v>
      </c>
      <c r="U3" s="13">
        <f>IF(Tableau2[[#This Row],[Max stats]]&gt;=43,1,0)</f>
        <v>1</v>
      </c>
      <c r="V3" s="13">
        <f>IF(OR(AND(Tableau2[[#This Row],[Range stats]]&gt;=15,Tableau2[[#This Row],[Range stats]]&lt;=27,Tableau2[[#This Row],[Loyauté]]&lt;&gt;"Loyal"),AND(Tableau2[[#This Row],[Range stats]]&gt;=27,Tableau2[[#This Row],[Range stats]]&lt;=40,Tableau2[[#This Row],[Loyauté]]="Loyal")),1,0)</f>
        <v>1</v>
      </c>
      <c r="W3" s="14"/>
    </row>
    <row r="4" spans="1:23" x14ac:dyDescent="0.25">
      <c r="A4" s="1" t="s">
        <v>58</v>
      </c>
      <c r="B4" s="21" t="str">
        <f>Tableau2[[#This Row],[Phy min]] &amp; " - " &amp; Tableau2[[#This Row],[Phy max]]</f>
        <v>18 - 25</v>
      </c>
      <c r="C4" s="18">
        <v>18</v>
      </c>
      <c r="D4" s="18">
        <v>25</v>
      </c>
      <c r="E4" s="21" t="str">
        <f>Tableau2[[#This Row],[Men min]] &amp; " - " &amp; Tableau2[[#This Row],[Men max]]</f>
        <v>5 - 12</v>
      </c>
      <c r="F4" s="18">
        <v>5</v>
      </c>
      <c r="G4" s="18">
        <v>12</v>
      </c>
      <c r="H4" s="21" t="str">
        <f>Tableau2[[#This Row],[Cha min]] &amp; " - " &amp; Tableau2[[#This Row],[Cha max]]</f>
        <v>5 - 15</v>
      </c>
      <c r="I4" s="18">
        <v>5</v>
      </c>
      <c r="J4" s="18">
        <v>15</v>
      </c>
      <c r="K4" s="19">
        <f>Tableau2[[#This Row],[Phy min]]+Tableau2[[#This Row],[Men min]]+Tableau2[[#This Row],[Cha min]]</f>
        <v>28</v>
      </c>
      <c r="L4" s="19">
        <f>Tableau2[[#This Row],[Phy max]]+Tableau2[[#This Row],[Men max]]+Tableau2[[#This Row],[Cha max]]</f>
        <v>52</v>
      </c>
      <c r="M4" s="19">
        <f>MAX(Tableau2[[#This Row],[Max stats]]-Tableau2[[#This Row],[Min stats]],0)</f>
        <v>24</v>
      </c>
      <c r="N4" s="17">
        <f>ROUNDUP(AVERAGE(Tableau2[[#This Row],[Phy min]:[Phy max]])*WPHYSIC+AVERAGE(Tableau2[[#This Row],[Men min]:[Men max]])*WMENTAL+AVERAGE(Tableau2[[#This Row],[Cha min]:[Cha max]])*WCHARAC,0)</f>
        <v>8</v>
      </c>
      <c r="O4" s="2" t="s">
        <v>39</v>
      </c>
      <c r="P4" s="1" t="s">
        <v>4</v>
      </c>
      <c r="Q4" s="15" t="str">
        <f>IFERROR(VLOOKUP(Tableau2[[#This Row],[Alignement]],Alignement[],2,FALSE),"")</f>
        <v>Neutre</v>
      </c>
      <c r="R4" s="15" t="str">
        <f>IFERROR(VLOOKUP(Tableau2[[#This Row],[Alignement]],Alignement[],3,FALSE),"")</f>
        <v>Chaotique</v>
      </c>
      <c r="S4" s="13">
        <f>IF(Tableau2[[#This Row],[Men min]]&lt;8,0,1)</f>
        <v>0</v>
      </c>
      <c r="T4" s="13">
        <f>IF(OR(AND(Tableau2[[#This Row],[Min stats]]&lt;=35,Tableau2[[#This Row],[Loyauté]]&lt;&gt;"Loyal"),AND(Tableau2[[#This Row],[Min stats]]&lt;=25,Tableau2[[#This Row],[Loyauté]]="Loyal")),1,0)</f>
        <v>1</v>
      </c>
      <c r="U4" s="13">
        <f>IF(Tableau2[[#This Row],[Max stats]]&gt;=43,1,0)</f>
        <v>1</v>
      </c>
      <c r="V4" s="13">
        <f>IF(OR(AND(Tableau2[[#This Row],[Range stats]]&gt;=15,Tableau2[[#This Row],[Range stats]]&lt;=27,Tableau2[[#This Row],[Loyauté]]&lt;&gt;"Loyal"),AND(Tableau2[[#This Row],[Range stats]]&gt;=27,Tableau2[[#This Row],[Range stats]]&lt;=40,Tableau2[[#This Row],[Loyauté]]="Loyal")),1,0)</f>
        <v>1</v>
      </c>
      <c r="W4" s="14"/>
    </row>
    <row r="5" spans="1:23" x14ac:dyDescent="0.25">
      <c r="A5" s="1" t="s">
        <v>47</v>
      </c>
      <c r="B5" s="21" t="str">
        <f>Tableau2[[#This Row],[Phy min]] &amp; " - " &amp; Tableau2[[#This Row],[Phy max]]</f>
        <v>6 - 15</v>
      </c>
      <c r="C5" s="18">
        <v>6</v>
      </c>
      <c r="D5" s="18">
        <v>15</v>
      </c>
      <c r="E5" s="21" t="str">
        <f>Tableau2[[#This Row],[Men min]] &amp; " - " &amp; Tableau2[[#This Row],[Men max]]</f>
        <v>8 - 18</v>
      </c>
      <c r="F5" s="18">
        <v>8</v>
      </c>
      <c r="G5" s="18">
        <v>18</v>
      </c>
      <c r="H5" s="21" t="str">
        <f>Tableau2[[#This Row],[Cha min]] &amp; " - " &amp; Tableau2[[#This Row],[Cha max]]</f>
        <v>12 - 20</v>
      </c>
      <c r="I5" s="18">
        <v>12</v>
      </c>
      <c r="J5" s="18">
        <v>20</v>
      </c>
      <c r="K5" s="19">
        <f>Tableau2[[#This Row],[Phy min]]+Tableau2[[#This Row],[Men min]]+Tableau2[[#This Row],[Cha min]]</f>
        <v>26</v>
      </c>
      <c r="L5" s="19">
        <f>Tableau2[[#This Row],[Phy max]]+Tableau2[[#This Row],[Men max]]+Tableau2[[#This Row],[Cha max]]</f>
        <v>53</v>
      </c>
      <c r="M5" s="19">
        <f>MAX(Tableau2[[#This Row],[Max stats]]-Tableau2[[#This Row],[Min stats]],0)</f>
        <v>27</v>
      </c>
      <c r="N5" s="17">
        <f>ROUNDUP(AVERAGE(Tableau2[[#This Row],[Phy min]:[Phy max]])*WPHYSIC+AVERAGE(Tableau2[[#This Row],[Men min]:[Men max]])*WMENTAL+AVERAGE(Tableau2[[#This Row],[Cha min]:[Cha max]])*WCHARAC,0)</f>
        <v>9</v>
      </c>
      <c r="O5" s="2" t="s">
        <v>40</v>
      </c>
      <c r="P5" s="1" t="s">
        <v>0</v>
      </c>
      <c r="Q5" s="15" t="str">
        <f>IFERROR(VLOOKUP(Tableau2[[#This Row],[Alignement]],Alignement[],2,FALSE),"")</f>
        <v>Mauvais</v>
      </c>
      <c r="R5" s="15" t="str">
        <f>IFERROR(VLOOKUP(Tableau2[[#This Row],[Alignement]],Alignement[],3,FALSE),"")</f>
        <v>Neutre</v>
      </c>
      <c r="S5" s="13">
        <f>IF(Tableau2[[#This Row],[Men min]]&lt;8,0,1)</f>
        <v>1</v>
      </c>
      <c r="T5" s="13">
        <f>IF(OR(AND(Tableau2[[#This Row],[Min stats]]&lt;=35,Tableau2[[#This Row],[Loyauté]]&lt;&gt;"Loyal"),AND(Tableau2[[#This Row],[Min stats]]&lt;=25,Tableau2[[#This Row],[Loyauté]]="Loyal")),1,0)</f>
        <v>1</v>
      </c>
      <c r="U5" s="13">
        <f>IF(Tableau2[[#This Row],[Max stats]]&gt;=43,1,0)</f>
        <v>1</v>
      </c>
      <c r="V5" s="13">
        <f>IF(OR(AND(Tableau2[[#This Row],[Range stats]]&gt;=15,Tableau2[[#This Row],[Range stats]]&lt;=27,Tableau2[[#This Row],[Loyauté]]&lt;&gt;"Loyal"),AND(Tableau2[[#This Row],[Range stats]]&gt;=27,Tableau2[[#This Row],[Range stats]]&lt;=40,Tableau2[[#This Row],[Loyauté]]="Loyal")),1,0)</f>
        <v>1</v>
      </c>
      <c r="W5" s="14"/>
    </row>
    <row r="6" spans="1:23" x14ac:dyDescent="0.25">
      <c r="A6" s="1" t="s">
        <v>57</v>
      </c>
      <c r="B6" s="21" t="str">
        <f>Tableau2[[#This Row],[Phy min]] &amp; " - " &amp; Tableau2[[#This Row],[Phy max]]</f>
        <v>3 - 13</v>
      </c>
      <c r="C6" s="18">
        <v>3</v>
      </c>
      <c r="D6" s="18">
        <v>13</v>
      </c>
      <c r="E6" s="21" t="str">
        <f>Tableau2[[#This Row],[Men min]] &amp; " - " &amp; Tableau2[[#This Row],[Men max]]</f>
        <v>10 - 20</v>
      </c>
      <c r="F6" s="18">
        <v>10</v>
      </c>
      <c r="G6" s="18">
        <v>20</v>
      </c>
      <c r="H6" s="21" t="str">
        <f>Tableau2[[#This Row],[Cha min]] &amp; " - " &amp; Tableau2[[#This Row],[Cha max]]</f>
        <v>12 - 20</v>
      </c>
      <c r="I6" s="18">
        <v>12</v>
      </c>
      <c r="J6" s="18">
        <v>20</v>
      </c>
      <c r="K6" s="19">
        <f>Tableau2[[#This Row],[Phy min]]+Tableau2[[#This Row],[Men min]]+Tableau2[[#This Row],[Cha min]]</f>
        <v>25</v>
      </c>
      <c r="L6" s="19">
        <f>Tableau2[[#This Row],[Phy max]]+Tableau2[[#This Row],[Men max]]+Tableau2[[#This Row],[Cha max]]</f>
        <v>53</v>
      </c>
      <c r="M6" s="19">
        <f>MAX(Tableau2[[#This Row],[Max stats]]-Tableau2[[#This Row],[Min stats]],0)</f>
        <v>28</v>
      </c>
      <c r="N6" s="17">
        <f>ROUNDUP(AVERAGE(Tableau2[[#This Row],[Phy min]:[Phy max]])*WPHYSIC+AVERAGE(Tableau2[[#This Row],[Men min]:[Men max]])*WMENTAL+AVERAGE(Tableau2[[#This Row],[Cha min]:[Cha max]])*WCHARAC,0)</f>
        <v>9</v>
      </c>
      <c r="O6" s="2" t="s">
        <v>42</v>
      </c>
      <c r="P6" s="1" t="s">
        <v>10</v>
      </c>
      <c r="Q6" s="15" t="str">
        <f>IFERROR(VLOOKUP(Tableau2[[#This Row],[Alignement]],Alignement[],2,FALSE),"")</f>
        <v>Bon</v>
      </c>
      <c r="R6" s="15" t="str">
        <f>IFERROR(VLOOKUP(Tableau2[[#This Row],[Alignement]],Alignement[],3,FALSE),"")</f>
        <v>Loyal</v>
      </c>
      <c r="S6" s="13">
        <f>IF(Tableau2[[#This Row],[Men min]]&lt;8,0,1)</f>
        <v>1</v>
      </c>
      <c r="T6" s="13">
        <f>IF(OR(AND(Tableau2[[#This Row],[Min stats]]&lt;=35,Tableau2[[#This Row],[Loyauté]]&lt;&gt;"Loyal"),AND(Tableau2[[#This Row],[Min stats]]&lt;=25,Tableau2[[#This Row],[Loyauté]]="Loyal")),1,0)</f>
        <v>1</v>
      </c>
      <c r="U6" s="13">
        <f>IF(Tableau2[[#This Row],[Max stats]]&gt;=43,1,0)</f>
        <v>1</v>
      </c>
      <c r="V6" s="13">
        <f>IF(OR(AND(Tableau2[[#This Row],[Range stats]]&gt;=15,Tableau2[[#This Row],[Range stats]]&lt;=27,Tableau2[[#This Row],[Loyauté]]&lt;&gt;"Loyal"),AND(Tableau2[[#This Row],[Range stats]]&gt;=27,Tableau2[[#This Row],[Range stats]]&lt;=40,Tableau2[[#This Row],[Loyauté]]="Loyal")),1,0)</f>
        <v>1</v>
      </c>
      <c r="W6" s="14"/>
    </row>
    <row r="7" spans="1:23" x14ac:dyDescent="0.25">
      <c r="A7" s="1" t="s">
        <v>25</v>
      </c>
      <c r="B7" s="21" t="str">
        <f>Tableau2[[#This Row],[Phy min]] &amp; " - " &amp; Tableau2[[#This Row],[Phy max]]</f>
        <v>18 - 25</v>
      </c>
      <c r="C7" s="18">
        <v>18</v>
      </c>
      <c r="D7" s="18">
        <v>25</v>
      </c>
      <c r="E7" s="21" t="str">
        <f>Tableau2[[#This Row],[Men min]] &amp; " - " &amp; Tableau2[[#This Row],[Men max]]</f>
        <v>3 - 13</v>
      </c>
      <c r="F7" s="18">
        <v>3</v>
      </c>
      <c r="G7" s="18">
        <v>13</v>
      </c>
      <c r="H7" s="21" t="str">
        <f>Tableau2[[#This Row],[Cha min]] &amp; " - " &amp; Tableau2[[#This Row],[Cha max]]</f>
        <v>8 - 15</v>
      </c>
      <c r="I7" s="18">
        <v>8</v>
      </c>
      <c r="J7" s="18">
        <v>15</v>
      </c>
      <c r="K7" s="19">
        <f>Tableau2[[#This Row],[Phy min]]+Tableau2[[#This Row],[Men min]]+Tableau2[[#This Row],[Cha min]]</f>
        <v>29</v>
      </c>
      <c r="L7" s="19">
        <f>Tableau2[[#This Row],[Phy max]]+Tableau2[[#This Row],[Men max]]+Tableau2[[#This Row],[Cha max]]</f>
        <v>53</v>
      </c>
      <c r="M7" s="19">
        <f>MAX(Tableau2[[#This Row],[Max stats]]-Tableau2[[#This Row],[Min stats]],0)</f>
        <v>24</v>
      </c>
      <c r="N7" s="17">
        <f>ROUNDUP(AVERAGE(Tableau2[[#This Row],[Phy min]:[Phy max]])*WPHYSIC+AVERAGE(Tableau2[[#This Row],[Men min]:[Men max]])*WMENTAL+AVERAGE(Tableau2[[#This Row],[Cha min]:[Cha max]])*WCHARAC,0)</f>
        <v>9</v>
      </c>
      <c r="O7" s="2" t="s">
        <v>39</v>
      </c>
      <c r="P7" s="1" t="s">
        <v>4</v>
      </c>
      <c r="Q7" s="15" t="str">
        <f>IFERROR(VLOOKUP(Tableau2[[#This Row],[Alignement]],Alignement[],2,FALSE),"")</f>
        <v>Neutre</v>
      </c>
      <c r="R7" s="15" t="str">
        <f>IFERROR(VLOOKUP(Tableau2[[#This Row],[Alignement]],Alignement[],3,FALSE),"")</f>
        <v>Chaotique</v>
      </c>
      <c r="S7" s="13">
        <f>IF(Tableau2[[#This Row],[Men min]]&lt;8,0,1)</f>
        <v>0</v>
      </c>
      <c r="T7" s="13">
        <f>IF(OR(AND(Tableau2[[#This Row],[Min stats]]&lt;=35,Tableau2[[#This Row],[Loyauté]]&lt;&gt;"Loyal"),AND(Tableau2[[#This Row],[Min stats]]&lt;=25,Tableau2[[#This Row],[Loyauté]]="Loyal")),1,0)</f>
        <v>1</v>
      </c>
      <c r="U7" s="13">
        <f>IF(Tableau2[[#This Row],[Max stats]]&gt;=43,1,0)</f>
        <v>1</v>
      </c>
      <c r="V7" s="13">
        <f>IF(OR(AND(Tableau2[[#This Row],[Range stats]]&gt;=15,Tableau2[[#This Row],[Range stats]]&lt;=27,Tableau2[[#This Row],[Loyauté]]&lt;&gt;"Loyal"),AND(Tableau2[[#This Row],[Range stats]]&gt;=27,Tableau2[[#This Row],[Range stats]]&lt;=40,Tableau2[[#This Row],[Loyauté]]="Loyal")),1,0)</f>
        <v>1</v>
      </c>
      <c r="W7" s="14"/>
    </row>
    <row r="8" spans="1:23" x14ac:dyDescent="0.25">
      <c r="A8" s="1" t="s">
        <v>51</v>
      </c>
      <c r="B8" s="21" t="str">
        <f>Tableau2[[#This Row],[Phy min]] &amp; " - " &amp; Tableau2[[#This Row],[Phy max]]</f>
        <v>8 - 20</v>
      </c>
      <c r="C8" s="18">
        <v>8</v>
      </c>
      <c r="D8" s="18">
        <v>20</v>
      </c>
      <c r="E8" s="21" t="str">
        <f>Tableau2[[#This Row],[Men min]] &amp; " - " &amp; Tableau2[[#This Row],[Men max]]</f>
        <v>8 - 20</v>
      </c>
      <c r="F8" s="18">
        <v>8</v>
      </c>
      <c r="G8" s="18">
        <v>20</v>
      </c>
      <c r="H8" s="21" t="str">
        <f>Tableau2[[#This Row],[Cha min]] &amp; " - " &amp; Tableau2[[#This Row],[Cha max]]</f>
        <v>5 - 18</v>
      </c>
      <c r="I8" s="18">
        <v>5</v>
      </c>
      <c r="J8" s="18">
        <v>18</v>
      </c>
      <c r="K8" s="19">
        <f>Tableau2[[#This Row],[Phy min]]+Tableau2[[#This Row],[Men min]]+Tableau2[[#This Row],[Cha min]]</f>
        <v>21</v>
      </c>
      <c r="L8" s="19">
        <f>Tableau2[[#This Row],[Phy max]]+Tableau2[[#This Row],[Men max]]+Tableau2[[#This Row],[Cha max]]</f>
        <v>58</v>
      </c>
      <c r="M8" s="19">
        <f>MAX(Tableau2[[#This Row],[Max stats]]-Tableau2[[#This Row],[Min stats]],0)</f>
        <v>37</v>
      </c>
      <c r="N8" s="17">
        <f>ROUNDUP(AVERAGE(Tableau2[[#This Row],[Phy min]:[Phy max]])*WPHYSIC+AVERAGE(Tableau2[[#This Row],[Men min]:[Men max]])*WMENTAL+AVERAGE(Tableau2[[#This Row],[Cha min]:[Cha max]])*WCHARAC,0)</f>
        <v>9</v>
      </c>
      <c r="O8" s="2" t="s">
        <v>40</v>
      </c>
      <c r="P8" s="1" t="s">
        <v>9</v>
      </c>
      <c r="Q8" s="15" t="str">
        <f>IFERROR(VLOOKUP(Tableau2[[#This Row],[Alignement]],Alignement[],2,FALSE),"")</f>
        <v>Neutre</v>
      </c>
      <c r="R8" s="15" t="str">
        <f>IFERROR(VLOOKUP(Tableau2[[#This Row],[Alignement]],Alignement[],3,FALSE),"")</f>
        <v>Loyal</v>
      </c>
      <c r="S8" s="13">
        <f>IF(Tableau2[[#This Row],[Men min]]&lt;8,0,1)</f>
        <v>1</v>
      </c>
      <c r="T8" s="13">
        <f>IF(OR(AND(Tableau2[[#This Row],[Min stats]]&lt;=35,Tableau2[[#This Row],[Loyauté]]&lt;&gt;"Loyal"),AND(Tableau2[[#This Row],[Min stats]]&lt;=25,Tableau2[[#This Row],[Loyauté]]="Loyal")),1,0)</f>
        <v>1</v>
      </c>
      <c r="U8" s="13">
        <f>IF(Tableau2[[#This Row],[Max stats]]&gt;=43,1,0)</f>
        <v>1</v>
      </c>
      <c r="V8" s="13">
        <f>IF(OR(AND(Tableau2[[#This Row],[Range stats]]&gt;=15,Tableau2[[#This Row],[Range stats]]&lt;=27,Tableau2[[#This Row],[Loyauté]]&lt;&gt;"Loyal"),AND(Tableau2[[#This Row],[Range stats]]&gt;=27,Tableau2[[#This Row],[Range stats]]&lt;=40,Tableau2[[#This Row],[Loyauté]]="Loyal")),1,0)</f>
        <v>1</v>
      </c>
      <c r="W8" s="14"/>
    </row>
    <row r="9" spans="1:23" x14ac:dyDescent="0.25">
      <c r="A9" s="1" t="s">
        <v>78</v>
      </c>
      <c r="B9" s="21" t="str">
        <f>Tableau2[[#This Row],[Phy min]] &amp; " - " &amp; Tableau2[[#This Row],[Phy max]]</f>
        <v>10 - 18</v>
      </c>
      <c r="C9" s="18">
        <v>10</v>
      </c>
      <c r="D9" s="18">
        <v>18</v>
      </c>
      <c r="E9" s="21" t="str">
        <f>Tableau2[[#This Row],[Men min]] &amp; " - " &amp; Tableau2[[#This Row],[Men max]]</f>
        <v>0 - 10</v>
      </c>
      <c r="F9" s="18">
        <v>0</v>
      </c>
      <c r="G9" s="18">
        <v>10</v>
      </c>
      <c r="H9" s="21" t="str">
        <f>Tableau2[[#This Row],[Cha min]] &amp; " - " &amp; Tableau2[[#This Row],[Cha max]]</f>
        <v>15 - 20</v>
      </c>
      <c r="I9" s="18">
        <v>15</v>
      </c>
      <c r="J9" s="18">
        <v>20</v>
      </c>
      <c r="K9" s="19">
        <f>Tableau2[[#This Row],[Phy min]]+Tableau2[[#This Row],[Men min]]+Tableau2[[#This Row],[Cha min]]</f>
        <v>25</v>
      </c>
      <c r="L9" s="19">
        <f>Tableau2[[#This Row],[Phy max]]+Tableau2[[#This Row],[Men max]]+Tableau2[[#This Row],[Cha max]]</f>
        <v>48</v>
      </c>
      <c r="M9" s="19">
        <f>MAX(Tableau2[[#This Row],[Max stats]]-Tableau2[[#This Row],[Min stats]],0)</f>
        <v>23</v>
      </c>
      <c r="N9" s="17">
        <f>ROUNDUP(AVERAGE(Tableau2[[#This Row],[Phy min]:[Phy max]])*WPHYSIC+AVERAGE(Tableau2[[#This Row],[Men min]:[Men max]])*WMENTAL+AVERAGE(Tableau2[[#This Row],[Cha min]:[Cha max]])*WCHARAC,0)</f>
        <v>9</v>
      </c>
      <c r="O9" s="2" t="s">
        <v>42</v>
      </c>
      <c r="P9" s="1" t="s">
        <v>0</v>
      </c>
      <c r="Q9" s="15" t="str">
        <f>IFERROR(VLOOKUP(Tableau2[[#This Row],[Alignement]],Alignement[],2,FALSE),"")</f>
        <v>Mauvais</v>
      </c>
      <c r="R9" s="15" t="str">
        <f>IFERROR(VLOOKUP(Tableau2[[#This Row],[Alignement]],Alignement[],3,FALSE),"")</f>
        <v>Neutre</v>
      </c>
      <c r="S9" s="13">
        <f>IF(Tableau2[[#This Row],[Men min]]&lt;8,0,1)</f>
        <v>0</v>
      </c>
      <c r="T9" s="13">
        <f>IF(OR(AND(Tableau2[[#This Row],[Min stats]]&lt;=35,Tableau2[[#This Row],[Loyauté]]&lt;&gt;"Loyal"),AND(Tableau2[[#This Row],[Min stats]]&lt;=25,Tableau2[[#This Row],[Loyauté]]="Loyal")),1,0)</f>
        <v>1</v>
      </c>
      <c r="U9" s="13">
        <f>IF(Tableau2[[#This Row],[Max stats]]&gt;=43,1,0)</f>
        <v>1</v>
      </c>
      <c r="V9" s="13">
        <f>IF(OR(AND(Tableau2[[#This Row],[Range stats]]&gt;=15,Tableau2[[#This Row],[Range stats]]&lt;=27,Tableau2[[#This Row],[Loyauté]]&lt;&gt;"Loyal"),AND(Tableau2[[#This Row],[Range stats]]&gt;=27,Tableau2[[#This Row],[Range stats]]&lt;=40,Tableau2[[#This Row],[Loyauté]]="Loyal")),1,0)</f>
        <v>1</v>
      </c>
      <c r="W9" s="14"/>
    </row>
    <row r="10" spans="1:23" x14ac:dyDescent="0.25">
      <c r="A10" s="1" t="s">
        <v>26</v>
      </c>
      <c r="B10" s="21" t="str">
        <f>Tableau2[[#This Row],[Phy min]] &amp; " - " &amp; Tableau2[[#This Row],[Phy max]]</f>
        <v>12 - 22</v>
      </c>
      <c r="C10" s="18">
        <v>12</v>
      </c>
      <c r="D10" s="18">
        <v>22</v>
      </c>
      <c r="E10" s="21" t="str">
        <f>Tableau2[[#This Row],[Men min]] &amp; " - " &amp; Tableau2[[#This Row],[Men max]]</f>
        <v>8 - 15</v>
      </c>
      <c r="F10" s="18">
        <v>8</v>
      </c>
      <c r="G10" s="18">
        <v>15</v>
      </c>
      <c r="H10" s="21" t="str">
        <f>Tableau2[[#This Row],[Cha min]] &amp; " - " &amp; Tableau2[[#This Row],[Cha max]]</f>
        <v>12 - 20</v>
      </c>
      <c r="I10" s="18">
        <v>12</v>
      </c>
      <c r="J10" s="18">
        <v>20</v>
      </c>
      <c r="K10" s="19">
        <f>Tableau2[[#This Row],[Phy min]]+Tableau2[[#This Row],[Men min]]+Tableau2[[#This Row],[Cha min]]</f>
        <v>32</v>
      </c>
      <c r="L10" s="19">
        <f>Tableau2[[#This Row],[Phy max]]+Tableau2[[#This Row],[Men max]]+Tableau2[[#This Row],[Cha max]]</f>
        <v>57</v>
      </c>
      <c r="M10" s="19">
        <f>MAX(Tableau2[[#This Row],[Max stats]]-Tableau2[[#This Row],[Min stats]],0)</f>
        <v>25</v>
      </c>
      <c r="N10" s="17">
        <f>ROUNDUP(AVERAGE(Tableau2[[#This Row],[Phy min]:[Phy max]])*WPHYSIC+AVERAGE(Tableau2[[#This Row],[Men min]:[Men max]])*WMENTAL+AVERAGE(Tableau2[[#This Row],[Cha min]:[Cha max]])*WCHARAC,0)</f>
        <v>10</v>
      </c>
      <c r="O10" s="2" t="s">
        <v>38</v>
      </c>
      <c r="P10" s="1" t="s">
        <v>0</v>
      </c>
      <c r="Q10" s="15" t="str">
        <f>IFERROR(VLOOKUP(Tableau2[[#This Row],[Alignement]],Alignement[],2,FALSE),"")</f>
        <v>Mauvais</v>
      </c>
      <c r="R10" s="15" t="str">
        <f>IFERROR(VLOOKUP(Tableau2[[#This Row],[Alignement]],Alignement[],3,FALSE),"")</f>
        <v>Neutre</v>
      </c>
      <c r="S10" s="13">
        <f>IF(Tableau2[[#This Row],[Men min]]&lt;8,0,1)</f>
        <v>1</v>
      </c>
      <c r="T10" s="13">
        <f>IF(OR(AND(Tableau2[[#This Row],[Min stats]]&lt;=35,Tableau2[[#This Row],[Loyauté]]&lt;&gt;"Loyal"),AND(Tableau2[[#This Row],[Min stats]]&lt;=25,Tableau2[[#This Row],[Loyauté]]="Loyal")),1,0)</f>
        <v>1</v>
      </c>
      <c r="U10" s="13">
        <f>IF(Tableau2[[#This Row],[Max stats]]&gt;=43,1,0)</f>
        <v>1</v>
      </c>
      <c r="V10" s="13">
        <f>IF(OR(AND(Tableau2[[#This Row],[Range stats]]&gt;=15,Tableau2[[#This Row],[Range stats]]&lt;=27,Tableau2[[#This Row],[Loyauté]]&lt;&gt;"Loyal"),AND(Tableau2[[#This Row],[Range stats]]&gt;=27,Tableau2[[#This Row],[Range stats]]&lt;=40,Tableau2[[#This Row],[Loyauté]]="Loyal")),1,0)</f>
        <v>1</v>
      </c>
      <c r="W10" s="14"/>
    </row>
    <row r="11" spans="1:23" x14ac:dyDescent="0.25">
      <c r="A11" s="1" t="s">
        <v>66</v>
      </c>
      <c r="B11" s="21" t="str">
        <f>Tableau2[[#This Row],[Phy min]] &amp; " - " &amp; Tableau2[[#This Row],[Phy max]]</f>
        <v>12 - 20</v>
      </c>
      <c r="C11" s="18">
        <v>12</v>
      </c>
      <c r="D11" s="18">
        <v>20</v>
      </c>
      <c r="E11" s="21" t="str">
        <f>Tableau2[[#This Row],[Men min]] &amp; " - " &amp; Tableau2[[#This Row],[Men max]]</f>
        <v>8 - 12</v>
      </c>
      <c r="F11" s="18">
        <v>8</v>
      </c>
      <c r="G11" s="18">
        <v>12</v>
      </c>
      <c r="H11" s="21" t="str">
        <f>Tableau2[[#This Row],[Cha min]] &amp; " - " &amp; Tableau2[[#This Row],[Cha max]]</f>
        <v>15 - 20</v>
      </c>
      <c r="I11" s="18">
        <v>15</v>
      </c>
      <c r="J11" s="18">
        <v>20</v>
      </c>
      <c r="K11" s="19">
        <f>Tableau2[[#This Row],[Phy min]]+Tableau2[[#This Row],[Men min]]+Tableau2[[#This Row],[Cha min]]</f>
        <v>35</v>
      </c>
      <c r="L11" s="19">
        <f>Tableau2[[#This Row],[Phy max]]+Tableau2[[#This Row],[Men max]]+Tableau2[[#This Row],[Cha max]]</f>
        <v>52</v>
      </c>
      <c r="M11" s="19">
        <f>MAX(Tableau2[[#This Row],[Max stats]]-Tableau2[[#This Row],[Min stats]],0)</f>
        <v>17</v>
      </c>
      <c r="N11" s="17">
        <f>ROUNDUP(AVERAGE(Tableau2[[#This Row],[Phy min]:[Phy max]])*WPHYSIC+AVERAGE(Tableau2[[#This Row],[Men min]:[Men max]])*WMENTAL+AVERAGE(Tableau2[[#This Row],[Cha min]:[Cha max]])*WCHARAC,0)</f>
        <v>10</v>
      </c>
      <c r="O11" s="2" t="s">
        <v>43</v>
      </c>
      <c r="P11" s="1" t="s">
        <v>7</v>
      </c>
      <c r="Q11" s="15" t="str">
        <f>IFERROR(VLOOKUP(Tableau2[[#This Row],[Alignement]],Alignement[],2,FALSE),"")</f>
        <v>Bon</v>
      </c>
      <c r="R11" s="15" t="str">
        <f>IFERROR(VLOOKUP(Tableau2[[#This Row],[Alignement]],Alignement[],3,FALSE),"")</f>
        <v>Neutre</v>
      </c>
      <c r="S11" s="13">
        <f>IF(Tableau2[[#This Row],[Men min]]&lt;8,0,1)</f>
        <v>1</v>
      </c>
      <c r="T11" s="13">
        <f>IF(OR(AND(Tableau2[[#This Row],[Min stats]]&lt;=35,Tableau2[[#This Row],[Loyauté]]&lt;&gt;"Loyal"),AND(Tableau2[[#This Row],[Min stats]]&lt;=25,Tableau2[[#This Row],[Loyauté]]="Loyal")),1,0)</f>
        <v>1</v>
      </c>
      <c r="U11" s="13">
        <f>IF(Tableau2[[#This Row],[Max stats]]&gt;=43,1,0)</f>
        <v>1</v>
      </c>
      <c r="V11" s="13">
        <f>IF(OR(AND(Tableau2[[#This Row],[Range stats]]&gt;=15,Tableau2[[#This Row],[Range stats]]&lt;=27,Tableau2[[#This Row],[Loyauté]]&lt;&gt;"Loyal"),AND(Tableau2[[#This Row],[Range stats]]&gt;=27,Tableau2[[#This Row],[Range stats]]&lt;=40,Tableau2[[#This Row],[Loyauté]]="Loyal")),1,0)</f>
        <v>1</v>
      </c>
      <c r="W11" s="14"/>
    </row>
    <row r="12" spans="1:23" x14ac:dyDescent="0.25">
      <c r="A12" s="1" t="s">
        <v>53</v>
      </c>
      <c r="B12" s="21" t="str">
        <f>Tableau2[[#This Row],[Phy min]] &amp; " - " &amp; Tableau2[[#This Row],[Phy max]]</f>
        <v>12 - 22</v>
      </c>
      <c r="C12" s="18">
        <v>12</v>
      </c>
      <c r="D12" s="18">
        <v>22</v>
      </c>
      <c r="E12" s="21" t="str">
        <f>Tableau2[[#This Row],[Men min]] &amp; " - " &amp; Tableau2[[#This Row],[Men max]]</f>
        <v>12 - 20</v>
      </c>
      <c r="F12" s="18">
        <v>12</v>
      </c>
      <c r="G12" s="18">
        <v>20</v>
      </c>
      <c r="H12" s="21" t="str">
        <f>Tableau2[[#This Row],[Cha min]] &amp; " - " &amp; Tableau2[[#This Row],[Cha max]]</f>
        <v>3 - 10</v>
      </c>
      <c r="I12" s="18">
        <v>3</v>
      </c>
      <c r="J12" s="18">
        <v>10</v>
      </c>
      <c r="K12" s="19">
        <f>Tableau2[[#This Row],[Phy min]]+Tableau2[[#This Row],[Men min]]+Tableau2[[#This Row],[Cha min]]</f>
        <v>27</v>
      </c>
      <c r="L12" s="19">
        <f>Tableau2[[#This Row],[Phy max]]+Tableau2[[#This Row],[Men max]]+Tableau2[[#This Row],[Cha max]]</f>
        <v>52</v>
      </c>
      <c r="M12" s="19">
        <f>MAX(Tableau2[[#This Row],[Max stats]]-Tableau2[[#This Row],[Min stats]],0)</f>
        <v>25</v>
      </c>
      <c r="N12" s="17">
        <f>ROUNDUP(AVERAGE(Tableau2[[#This Row],[Phy min]:[Phy max]])*WPHYSIC+AVERAGE(Tableau2[[#This Row],[Men min]:[Men max]])*WMENTAL+AVERAGE(Tableau2[[#This Row],[Cha min]:[Cha max]])*WCHARAC,0)</f>
        <v>8</v>
      </c>
      <c r="O12" s="2" t="s">
        <v>38</v>
      </c>
      <c r="P12" s="1" t="s">
        <v>5</v>
      </c>
      <c r="Q12" s="15" t="str">
        <f>IFERROR(VLOOKUP(Tableau2[[#This Row],[Alignement]],Alignement[],2,FALSE),"")</f>
        <v>Neutre</v>
      </c>
      <c r="R12" s="15" t="str">
        <f>IFERROR(VLOOKUP(Tableau2[[#This Row],[Alignement]],Alignement[],3,FALSE),"")</f>
        <v>Neutre</v>
      </c>
      <c r="S12" s="13">
        <f>IF(Tableau2[[#This Row],[Men min]]&lt;8,0,1)</f>
        <v>1</v>
      </c>
      <c r="T12" s="13">
        <f>IF(OR(AND(Tableau2[[#This Row],[Min stats]]&lt;=35,Tableau2[[#This Row],[Loyauté]]&lt;&gt;"Loyal"),AND(Tableau2[[#This Row],[Min stats]]&lt;=25,Tableau2[[#This Row],[Loyauté]]="Loyal")),1,0)</f>
        <v>1</v>
      </c>
      <c r="U12" s="13">
        <f>IF(Tableau2[[#This Row],[Max stats]]&gt;=43,1,0)</f>
        <v>1</v>
      </c>
      <c r="V12" s="13">
        <f>IF(OR(AND(Tableau2[[#This Row],[Range stats]]&gt;=15,Tableau2[[#This Row],[Range stats]]&lt;=27,Tableau2[[#This Row],[Loyauté]]&lt;&gt;"Loyal"),AND(Tableau2[[#This Row],[Range stats]]&gt;=27,Tableau2[[#This Row],[Range stats]]&lt;=40,Tableau2[[#This Row],[Loyauté]]="Loyal")),1,0)</f>
        <v>1</v>
      </c>
      <c r="W12" s="14"/>
    </row>
    <row r="13" spans="1:23" x14ac:dyDescent="0.25">
      <c r="A13" s="1" t="s">
        <v>22</v>
      </c>
      <c r="B13" s="21" t="str">
        <f>Tableau2[[#This Row],[Phy min]] &amp; " - " &amp; Tableau2[[#This Row],[Phy max]]</f>
        <v>8 - 20</v>
      </c>
      <c r="C13" s="18">
        <v>8</v>
      </c>
      <c r="D13" s="18">
        <v>20</v>
      </c>
      <c r="E13" s="21" t="str">
        <f>Tableau2[[#This Row],[Men min]] &amp; " - " &amp; Tableau2[[#This Row],[Men max]]</f>
        <v>3 - 15</v>
      </c>
      <c r="F13" s="18">
        <v>3</v>
      </c>
      <c r="G13" s="18">
        <v>15</v>
      </c>
      <c r="H13" s="21" t="str">
        <f>Tableau2[[#This Row],[Cha min]] &amp; " - " &amp; Tableau2[[#This Row],[Cha max]]</f>
        <v>10 - 20</v>
      </c>
      <c r="I13" s="18">
        <v>10</v>
      </c>
      <c r="J13" s="18">
        <v>20</v>
      </c>
      <c r="K13" s="19">
        <f>Tableau2[[#This Row],[Phy min]]+Tableau2[[#This Row],[Men min]]+Tableau2[[#This Row],[Cha min]]</f>
        <v>21</v>
      </c>
      <c r="L13" s="19">
        <f>Tableau2[[#This Row],[Phy max]]+Tableau2[[#This Row],[Men max]]+Tableau2[[#This Row],[Cha max]]</f>
        <v>55</v>
      </c>
      <c r="M13" s="19">
        <f>MAX(Tableau2[[#This Row],[Max stats]]-Tableau2[[#This Row],[Min stats]],0)</f>
        <v>34</v>
      </c>
      <c r="N13" s="17">
        <f>ROUNDUP(AVERAGE(Tableau2[[#This Row],[Phy min]:[Phy max]])*WPHYSIC+AVERAGE(Tableau2[[#This Row],[Men min]:[Men max]])*WMENTAL+AVERAGE(Tableau2[[#This Row],[Cha min]:[Cha max]])*WCHARAC,0)</f>
        <v>9</v>
      </c>
      <c r="O13" s="2" t="s">
        <v>43</v>
      </c>
      <c r="P13" s="1" t="s">
        <v>11</v>
      </c>
      <c r="Q13" s="15" t="str">
        <f>IFERROR(VLOOKUP(Tableau2[[#This Row],[Alignement]],Alignement[],2,FALSE),"")</f>
        <v>Mauvais</v>
      </c>
      <c r="R13" s="15" t="str">
        <f>IFERROR(VLOOKUP(Tableau2[[#This Row],[Alignement]],Alignement[],3,FALSE),"")</f>
        <v>Loyal</v>
      </c>
      <c r="S13" s="13">
        <f>IF(Tableau2[[#This Row],[Men min]]&lt;8,0,1)</f>
        <v>0</v>
      </c>
      <c r="T13" s="13">
        <f>IF(OR(AND(Tableau2[[#This Row],[Min stats]]&lt;=35,Tableau2[[#This Row],[Loyauté]]&lt;&gt;"Loyal"),AND(Tableau2[[#This Row],[Min stats]]&lt;=25,Tableau2[[#This Row],[Loyauté]]="Loyal")),1,0)</f>
        <v>1</v>
      </c>
      <c r="U13" s="13">
        <f>IF(Tableau2[[#This Row],[Max stats]]&gt;=43,1,0)</f>
        <v>1</v>
      </c>
      <c r="V13" s="13">
        <f>IF(OR(AND(Tableau2[[#This Row],[Range stats]]&gt;=15,Tableau2[[#This Row],[Range stats]]&lt;=27,Tableau2[[#This Row],[Loyauté]]&lt;&gt;"Loyal"),AND(Tableau2[[#This Row],[Range stats]]&gt;=27,Tableau2[[#This Row],[Range stats]]&lt;=40,Tableau2[[#This Row],[Loyauté]]="Loyal")),1,0)</f>
        <v>1</v>
      </c>
      <c r="W13" s="14"/>
    </row>
    <row r="14" spans="1:23" x14ac:dyDescent="0.25">
      <c r="A14" s="1" t="s">
        <v>17</v>
      </c>
      <c r="B14" s="21" t="str">
        <f>Tableau2[[#This Row],[Phy min]] &amp; " - " &amp; Tableau2[[#This Row],[Phy max]]</f>
        <v>10 - 18</v>
      </c>
      <c r="C14" s="18">
        <v>10</v>
      </c>
      <c r="D14" s="18">
        <v>18</v>
      </c>
      <c r="E14" s="21" t="str">
        <f>Tableau2[[#This Row],[Men min]] &amp; " - " &amp; Tableau2[[#This Row],[Men max]]</f>
        <v>10 - 18</v>
      </c>
      <c r="F14" s="18">
        <v>10</v>
      </c>
      <c r="G14" s="18">
        <v>18</v>
      </c>
      <c r="H14" s="21" t="str">
        <f>Tableau2[[#This Row],[Cha min]] &amp; " - " &amp; Tableau2[[#This Row],[Cha max]]</f>
        <v>12 - 20</v>
      </c>
      <c r="I14" s="18">
        <v>12</v>
      </c>
      <c r="J14" s="18">
        <v>20</v>
      </c>
      <c r="K14" s="19">
        <f>Tableau2[[#This Row],[Phy min]]+Tableau2[[#This Row],[Men min]]+Tableau2[[#This Row],[Cha min]]</f>
        <v>32</v>
      </c>
      <c r="L14" s="19">
        <f>Tableau2[[#This Row],[Phy max]]+Tableau2[[#This Row],[Men max]]+Tableau2[[#This Row],[Cha max]]</f>
        <v>56</v>
      </c>
      <c r="M14" s="19">
        <f>MAX(Tableau2[[#This Row],[Max stats]]-Tableau2[[#This Row],[Min stats]],0)</f>
        <v>24</v>
      </c>
      <c r="N14" s="17">
        <f>ROUNDUP(AVERAGE(Tableau2[[#This Row],[Phy min]:[Phy max]])*WPHYSIC+AVERAGE(Tableau2[[#This Row],[Men min]:[Men max]])*WMENTAL+AVERAGE(Tableau2[[#This Row],[Cha min]:[Cha max]])*WCHARAC,0)</f>
        <v>10</v>
      </c>
      <c r="O14" s="2" t="s">
        <v>42</v>
      </c>
      <c r="P14" s="1" t="s">
        <v>5</v>
      </c>
      <c r="Q14" s="15" t="str">
        <f>IFERROR(VLOOKUP(Tableau2[[#This Row],[Alignement]],Alignement[],2,FALSE),"")</f>
        <v>Neutre</v>
      </c>
      <c r="R14" s="15" t="str">
        <f>IFERROR(VLOOKUP(Tableau2[[#This Row],[Alignement]],Alignement[],3,FALSE),"")</f>
        <v>Neutre</v>
      </c>
      <c r="S14" s="13">
        <f>IF(Tableau2[[#This Row],[Men min]]&lt;8,0,1)</f>
        <v>1</v>
      </c>
      <c r="T14" s="13">
        <f>IF(OR(AND(Tableau2[[#This Row],[Min stats]]&lt;=35,Tableau2[[#This Row],[Loyauté]]&lt;&gt;"Loyal"),AND(Tableau2[[#This Row],[Min stats]]&lt;=25,Tableau2[[#This Row],[Loyauté]]="Loyal")),1,0)</f>
        <v>1</v>
      </c>
      <c r="U14" s="13">
        <f>IF(Tableau2[[#This Row],[Max stats]]&gt;=43,1,0)</f>
        <v>1</v>
      </c>
      <c r="V14" s="13">
        <f>IF(OR(AND(Tableau2[[#This Row],[Range stats]]&gt;=15,Tableau2[[#This Row],[Range stats]]&lt;=27,Tableau2[[#This Row],[Loyauté]]&lt;&gt;"Loyal"),AND(Tableau2[[#This Row],[Range stats]]&gt;=27,Tableau2[[#This Row],[Range stats]]&lt;=40,Tableau2[[#This Row],[Loyauté]]="Loyal")),1,0)</f>
        <v>1</v>
      </c>
      <c r="W14" s="14"/>
    </row>
    <row r="15" spans="1:23" x14ac:dyDescent="0.25">
      <c r="A15" s="1" t="s">
        <v>62</v>
      </c>
      <c r="B15" s="21" t="str">
        <f>Tableau2[[#This Row],[Phy min]] &amp; " - " &amp; Tableau2[[#This Row],[Phy max]]</f>
        <v>18 - 28</v>
      </c>
      <c r="C15" s="18">
        <v>18</v>
      </c>
      <c r="D15" s="18">
        <v>28</v>
      </c>
      <c r="E15" s="21" t="str">
        <f>Tableau2[[#This Row],[Men min]] &amp; " - " &amp; Tableau2[[#This Row],[Men max]]</f>
        <v>3 - 10</v>
      </c>
      <c r="F15" s="18">
        <v>3</v>
      </c>
      <c r="G15" s="18">
        <v>10</v>
      </c>
      <c r="H15" s="21" t="str">
        <f>Tableau2[[#This Row],[Cha min]] &amp; " - " &amp; Tableau2[[#This Row],[Cha max]]</f>
        <v>12 - 20</v>
      </c>
      <c r="I15" s="18">
        <v>12</v>
      </c>
      <c r="J15" s="18">
        <v>20</v>
      </c>
      <c r="K15" s="19">
        <f>Tableau2[[#This Row],[Phy min]]+Tableau2[[#This Row],[Men min]]+Tableau2[[#This Row],[Cha min]]</f>
        <v>33</v>
      </c>
      <c r="L15" s="19">
        <f>Tableau2[[#This Row],[Phy max]]+Tableau2[[#This Row],[Men max]]+Tableau2[[#This Row],[Cha max]]</f>
        <v>58</v>
      </c>
      <c r="M15" s="19">
        <f>MAX(Tableau2[[#This Row],[Max stats]]-Tableau2[[#This Row],[Min stats]],0)</f>
        <v>25</v>
      </c>
      <c r="N15" s="17">
        <f>ROUNDUP(AVERAGE(Tableau2[[#This Row],[Phy min]:[Phy max]])*WPHYSIC+AVERAGE(Tableau2[[#This Row],[Men min]:[Men max]])*WMENTAL+AVERAGE(Tableau2[[#This Row],[Cha min]:[Cha max]])*WCHARAC,0)</f>
        <v>10</v>
      </c>
      <c r="O15" s="2" t="s">
        <v>39</v>
      </c>
      <c r="P15" s="1" t="s">
        <v>0</v>
      </c>
      <c r="Q15" s="15" t="str">
        <f>IFERROR(VLOOKUP(Tableau2[[#This Row],[Alignement]],Alignement[],2,FALSE),"")</f>
        <v>Mauvais</v>
      </c>
      <c r="R15" s="15" t="str">
        <f>IFERROR(VLOOKUP(Tableau2[[#This Row],[Alignement]],Alignement[],3,FALSE),"")</f>
        <v>Neutre</v>
      </c>
      <c r="S15" s="13">
        <f>IF(Tableau2[[#This Row],[Men min]]&lt;8,0,1)</f>
        <v>0</v>
      </c>
      <c r="T15" s="13">
        <f>IF(OR(AND(Tableau2[[#This Row],[Min stats]]&lt;=35,Tableau2[[#This Row],[Loyauté]]&lt;&gt;"Loyal"),AND(Tableau2[[#This Row],[Min stats]]&lt;=25,Tableau2[[#This Row],[Loyauté]]="Loyal")),1,0)</f>
        <v>1</v>
      </c>
      <c r="U15" s="13">
        <f>IF(Tableau2[[#This Row],[Max stats]]&gt;=43,1,0)</f>
        <v>1</v>
      </c>
      <c r="V15" s="13">
        <f>IF(OR(AND(Tableau2[[#This Row],[Range stats]]&gt;=15,Tableau2[[#This Row],[Range stats]]&lt;=27,Tableau2[[#This Row],[Loyauté]]&lt;&gt;"Loyal"),AND(Tableau2[[#This Row],[Range stats]]&gt;=27,Tableau2[[#This Row],[Range stats]]&lt;=40,Tableau2[[#This Row],[Loyauté]]="Loyal")),1,0)</f>
        <v>1</v>
      </c>
      <c r="W15" s="14"/>
    </row>
    <row r="16" spans="1:23" x14ac:dyDescent="0.25">
      <c r="A16" s="1" t="s">
        <v>80</v>
      </c>
      <c r="B16" s="21" t="str">
        <f>Tableau2[[#This Row],[Phy min]] &amp; " - " &amp; Tableau2[[#This Row],[Phy max]]</f>
        <v>3 - 18</v>
      </c>
      <c r="C16" s="18">
        <v>3</v>
      </c>
      <c r="D16" s="18">
        <v>18</v>
      </c>
      <c r="E16" s="21" t="str">
        <f>Tableau2[[#This Row],[Men min]] &amp; " - " &amp; Tableau2[[#This Row],[Men max]]</f>
        <v>12 - 20</v>
      </c>
      <c r="F16" s="18">
        <v>12</v>
      </c>
      <c r="G16" s="18">
        <v>20</v>
      </c>
      <c r="H16" s="21" t="str">
        <f>Tableau2[[#This Row],[Cha min]] &amp; " - " &amp; Tableau2[[#This Row],[Cha max]]</f>
        <v>10 - 20</v>
      </c>
      <c r="I16" s="18">
        <v>10</v>
      </c>
      <c r="J16" s="18">
        <v>20</v>
      </c>
      <c r="K16" s="19">
        <f>Tableau2[[#This Row],[Phy min]]+Tableau2[[#This Row],[Men min]]+Tableau2[[#This Row],[Cha min]]</f>
        <v>25</v>
      </c>
      <c r="L16" s="19">
        <f>Tableau2[[#This Row],[Phy max]]+Tableau2[[#This Row],[Men max]]+Tableau2[[#This Row],[Cha max]]</f>
        <v>58</v>
      </c>
      <c r="M16" s="19">
        <f>MAX(Tableau2[[#This Row],[Max stats]]-Tableau2[[#This Row],[Min stats]],0)</f>
        <v>33</v>
      </c>
      <c r="N16" s="17">
        <f>ROUNDUP(AVERAGE(Tableau2[[#This Row],[Phy min]:[Phy max]])*WPHYSIC+AVERAGE(Tableau2[[#This Row],[Men min]:[Men max]])*WMENTAL+AVERAGE(Tableau2[[#This Row],[Cha min]:[Cha max]])*WCHARAC,0)</f>
        <v>10</v>
      </c>
      <c r="O16" s="2" t="s">
        <v>41</v>
      </c>
      <c r="P16" s="1" t="s">
        <v>10</v>
      </c>
      <c r="Q16" s="15" t="str">
        <f>IFERROR(VLOOKUP(Tableau2[[#This Row],[Alignement]],Alignement[],2,FALSE),"")</f>
        <v>Bon</v>
      </c>
      <c r="R16" s="15" t="str">
        <f>IFERROR(VLOOKUP(Tableau2[[#This Row],[Alignement]],Alignement[],3,FALSE),"")</f>
        <v>Loyal</v>
      </c>
      <c r="S16" s="13">
        <f>IF(Tableau2[[#This Row],[Men min]]&lt;8,0,1)</f>
        <v>1</v>
      </c>
      <c r="T16" s="13">
        <f>IF(OR(AND(Tableau2[[#This Row],[Min stats]]&lt;=35,Tableau2[[#This Row],[Loyauté]]&lt;&gt;"Loyal"),AND(Tableau2[[#This Row],[Min stats]]&lt;=25,Tableau2[[#This Row],[Loyauté]]="Loyal")),1,0)</f>
        <v>1</v>
      </c>
      <c r="U16" s="13">
        <f>IF(Tableau2[[#This Row],[Max stats]]&gt;=43,1,0)</f>
        <v>1</v>
      </c>
      <c r="V16" s="13">
        <f>IF(OR(AND(Tableau2[[#This Row],[Range stats]]&gt;=15,Tableau2[[#This Row],[Range stats]]&lt;=27,Tableau2[[#This Row],[Loyauté]]&lt;&gt;"Loyal"),AND(Tableau2[[#This Row],[Range stats]]&gt;=27,Tableau2[[#This Row],[Range stats]]&lt;=40,Tableau2[[#This Row],[Loyauté]]="Loyal")),1,0)</f>
        <v>1</v>
      </c>
      <c r="W16" s="14"/>
    </row>
    <row r="17" spans="1:23" x14ac:dyDescent="0.25">
      <c r="A17" s="1" t="s">
        <v>23</v>
      </c>
      <c r="B17" s="21" t="str">
        <f>Tableau2[[#This Row],[Phy min]] &amp; " - " &amp; Tableau2[[#This Row],[Phy max]]</f>
        <v>6 - 15</v>
      </c>
      <c r="C17" s="18">
        <v>6</v>
      </c>
      <c r="D17" s="18">
        <v>15</v>
      </c>
      <c r="E17" s="21" t="str">
        <f>Tableau2[[#This Row],[Men min]] &amp; " - " &amp; Tableau2[[#This Row],[Men max]]</f>
        <v>10 - 18</v>
      </c>
      <c r="F17" s="18">
        <v>10</v>
      </c>
      <c r="G17" s="18">
        <v>18</v>
      </c>
      <c r="H17" s="21" t="str">
        <f>Tableau2[[#This Row],[Cha min]] &amp; " - " &amp; Tableau2[[#This Row],[Cha max]]</f>
        <v>15 - 20</v>
      </c>
      <c r="I17" s="18">
        <v>15</v>
      </c>
      <c r="J17" s="18">
        <v>20</v>
      </c>
      <c r="K17" s="19">
        <f>Tableau2[[#This Row],[Phy min]]+Tableau2[[#This Row],[Men min]]+Tableau2[[#This Row],[Cha min]]</f>
        <v>31</v>
      </c>
      <c r="L17" s="19">
        <f>Tableau2[[#This Row],[Phy max]]+Tableau2[[#This Row],[Men max]]+Tableau2[[#This Row],[Cha max]]</f>
        <v>53</v>
      </c>
      <c r="M17" s="19">
        <f>MAX(Tableau2[[#This Row],[Max stats]]-Tableau2[[#This Row],[Min stats]],0)</f>
        <v>22</v>
      </c>
      <c r="N17" s="17">
        <f>ROUNDUP(AVERAGE(Tableau2[[#This Row],[Phy min]:[Phy max]])*WPHYSIC+AVERAGE(Tableau2[[#This Row],[Men min]:[Men max]])*WMENTAL+AVERAGE(Tableau2[[#This Row],[Cha min]:[Cha max]])*WCHARAC,0)</f>
        <v>10</v>
      </c>
      <c r="O17" s="2" t="s">
        <v>43</v>
      </c>
      <c r="P17" s="1" t="s">
        <v>0</v>
      </c>
      <c r="Q17" s="15" t="str">
        <f>IFERROR(VLOOKUP(Tableau2[[#This Row],[Alignement]],Alignement[],2,FALSE),"")</f>
        <v>Mauvais</v>
      </c>
      <c r="R17" s="15" t="str">
        <f>IFERROR(VLOOKUP(Tableau2[[#This Row],[Alignement]],Alignement[],3,FALSE),"")</f>
        <v>Neutre</v>
      </c>
      <c r="S17" s="13">
        <f>IF(Tableau2[[#This Row],[Men min]]&lt;8,0,1)</f>
        <v>1</v>
      </c>
      <c r="T17" s="13">
        <f>IF(OR(AND(Tableau2[[#This Row],[Min stats]]&lt;=35,Tableau2[[#This Row],[Loyauté]]&lt;&gt;"Loyal"),AND(Tableau2[[#This Row],[Min stats]]&lt;=25,Tableau2[[#This Row],[Loyauté]]="Loyal")),1,0)</f>
        <v>1</v>
      </c>
      <c r="U17" s="13">
        <f>IF(Tableau2[[#This Row],[Max stats]]&gt;=43,1,0)</f>
        <v>1</v>
      </c>
      <c r="V17" s="13">
        <f>IF(OR(AND(Tableau2[[#This Row],[Range stats]]&gt;=15,Tableau2[[#This Row],[Range stats]]&lt;=27,Tableau2[[#This Row],[Loyauté]]&lt;&gt;"Loyal"),AND(Tableau2[[#This Row],[Range stats]]&gt;=27,Tableau2[[#This Row],[Range stats]]&lt;=40,Tableau2[[#This Row],[Loyauté]]="Loyal")),1,0)</f>
        <v>1</v>
      </c>
      <c r="W17" s="14"/>
    </row>
    <row r="18" spans="1:23" x14ac:dyDescent="0.25">
      <c r="A18" s="1" t="s">
        <v>21</v>
      </c>
      <c r="B18" s="21" t="str">
        <f>Tableau2[[#This Row],[Phy min]] &amp; " - " &amp; Tableau2[[#This Row],[Phy max]]</f>
        <v>0 - 15</v>
      </c>
      <c r="C18" s="18">
        <v>0</v>
      </c>
      <c r="D18" s="18">
        <v>15</v>
      </c>
      <c r="E18" s="21" t="str">
        <f>Tableau2[[#This Row],[Men min]] &amp; " - " &amp; Tableau2[[#This Row],[Men max]]</f>
        <v>15 - 20</v>
      </c>
      <c r="F18" s="18">
        <v>15</v>
      </c>
      <c r="G18" s="18">
        <v>20</v>
      </c>
      <c r="H18" s="21" t="str">
        <f>Tableau2[[#This Row],[Cha min]] &amp; " - " &amp; Tableau2[[#This Row],[Cha max]]</f>
        <v>5 - 20</v>
      </c>
      <c r="I18" s="18">
        <v>5</v>
      </c>
      <c r="J18" s="18">
        <v>20</v>
      </c>
      <c r="K18" s="19">
        <f>Tableau2[[#This Row],[Phy min]]+Tableau2[[#This Row],[Men min]]+Tableau2[[#This Row],[Cha min]]</f>
        <v>20</v>
      </c>
      <c r="L18" s="19">
        <f>Tableau2[[#This Row],[Phy max]]+Tableau2[[#This Row],[Men max]]+Tableau2[[#This Row],[Cha max]]</f>
        <v>55</v>
      </c>
      <c r="M18" s="19">
        <f>MAX(Tableau2[[#This Row],[Max stats]]-Tableau2[[#This Row],[Min stats]],0)</f>
        <v>35</v>
      </c>
      <c r="N18" s="17">
        <f>ROUNDUP(AVERAGE(Tableau2[[#This Row],[Phy min]:[Phy max]])*WPHYSIC+AVERAGE(Tableau2[[#This Row],[Men min]:[Men max]])*WMENTAL+AVERAGE(Tableau2[[#This Row],[Cha min]:[Cha max]])*WCHARAC,0)</f>
        <v>9</v>
      </c>
      <c r="O18" s="2" t="s">
        <v>40</v>
      </c>
      <c r="P18" s="1" t="s">
        <v>9</v>
      </c>
      <c r="Q18" s="15" t="str">
        <f>IFERROR(VLOOKUP(Tableau2[[#This Row],[Alignement]],Alignement[],2,FALSE),"")</f>
        <v>Neutre</v>
      </c>
      <c r="R18" s="15" t="str">
        <f>IFERROR(VLOOKUP(Tableau2[[#This Row],[Alignement]],Alignement[],3,FALSE),"")</f>
        <v>Loyal</v>
      </c>
      <c r="S18" s="13">
        <f>IF(Tableau2[[#This Row],[Men min]]&lt;8,0,1)</f>
        <v>1</v>
      </c>
      <c r="T18" s="13">
        <f>IF(OR(AND(Tableau2[[#This Row],[Min stats]]&lt;=35,Tableau2[[#This Row],[Loyauté]]&lt;&gt;"Loyal"),AND(Tableau2[[#This Row],[Min stats]]&lt;=25,Tableau2[[#This Row],[Loyauté]]="Loyal")),1,0)</f>
        <v>1</v>
      </c>
      <c r="U18" s="13">
        <f>IF(Tableau2[[#This Row],[Max stats]]&gt;=43,1,0)</f>
        <v>1</v>
      </c>
      <c r="V18" s="13">
        <f>IF(OR(AND(Tableau2[[#This Row],[Range stats]]&gt;=15,Tableau2[[#This Row],[Range stats]]&lt;=27,Tableau2[[#This Row],[Loyauté]]&lt;&gt;"Loyal"),AND(Tableau2[[#This Row],[Range stats]]&gt;=27,Tableau2[[#This Row],[Range stats]]&lt;=40,Tableau2[[#This Row],[Loyauté]]="Loyal")),1,0)</f>
        <v>1</v>
      </c>
      <c r="W18" s="14"/>
    </row>
    <row r="19" spans="1:23" x14ac:dyDescent="0.25">
      <c r="A19" s="1" t="s">
        <v>54</v>
      </c>
      <c r="B19" s="21" t="str">
        <f>Tableau2[[#This Row],[Phy min]] &amp; " - " &amp; Tableau2[[#This Row],[Phy max]]</f>
        <v>6 - 13</v>
      </c>
      <c r="C19" s="18">
        <v>6</v>
      </c>
      <c r="D19" s="18">
        <v>13</v>
      </c>
      <c r="E19" s="21" t="str">
        <f>Tableau2[[#This Row],[Men min]] &amp; " - " &amp; Tableau2[[#This Row],[Men max]]</f>
        <v>15 - 20</v>
      </c>
      <c r="F19" s="18">
        <v>15</v>
      </c>
      <c r="G19" s="18">
        <v>20</v>
      </c>
      <c r="H19" s="21" t="str">
        <f>Tableau2[[#This Row],[Cha min]] &amp; " - " &amp; Tableau2[[#This Row],[Cha max]]</f>
        <v>10 - 20</v>
      </c>
      <c r="I19" s="18">
        <v>10</v>
      </c>
      <c r="J19" s="18">
        <v>20</v>
      </c>
      <c r="K19" s="19">
        <f>Tableau2[[#This Row],[Phy min]]+Tableau2[[#This Row],[Men min]]+Tableau2[[#This Row],[Cha min]]</f>
        <v>31</v>
      </c>
      <c r="L19" s="19">
        <f>Tableau2[[#This Row],[Phy max]]+Tableau2[[#This Row],[Men max]]+Tableau2[[#This Row],[Cha max]]</f>
        <v>53</v>
      </c>
      <c r="M19" s="19">
        <f>MAX(Tableau2[[#This Row],[Max stats]]-Tableau2[[#This Row],[Min stats]],0)</f>
        <v>22</v>
      </c>
      <c r="N19" s="17">
        <f>ROUNDUP(AVERAGE(Tableau2[[#This Row],[Phy min]:[Phy max]])*WPHYSIC+AVERAGE(Tableau2[[#This Row],[Men min]:[Men max]])*WMENTAL+AVERAGE(Tableau2[[#This Row],[Cha min]:[Cha max]])*WCHARAC,0)</f>
        <v>10</v>
      </c>
      <c r="O19" s="2" t="s">
        <v>40</v>
      </c>
      <c r="P19" s="1" t="s">
        <v>8</v>
      </c>
      <c r="Q19" s="15" t="str">
        <f>IFERROR(VLOOKUP(Tableau2[[#This Row],[Alignement]],Alignement[],2,FALSE),"")</f>
        <v>Mauvais</v>
      </c>
      <c r="R19" s="15" t="str">
        <f>IFERROR(VLOOKUP(Tableau2[[#This Row],[Alignement]],Alignement[],3,FALSE),"")</f>
        <v>Chaotique</v>
      </c>
      <c r="S19" s="13">
        <f>IF(Tableau2[[#This Row],[Men min]]&lt;8,0,1)</f>
        <v>1</v>
      </c>
      <c r="T19" s="13">
        <f>IF(OR(AND(Tableau2[[#This Row],[Min stats]]&lt;=35,Tableau2[[#This Row],[Loyauté]]&lt;&gt;"Loyal"),AND(Tableau2[[#This Row],[Min stats]]&lt;=25,Tableau2[[#This Row],[Loyauté]]="Loyal")),1,0)</f>
        <v>1</v>
      </c>
      <c r="U19" s="13">
        <f>IF(Tableau2[[#This Row],[Max stats]]&gt;=43,1,0)</f>
        <v>1</v>
      </c>
      <c r="V19" s="13">
        <f>IF(OR(AND(Tableau2[[#This Row],[Range stats]]&gt;=15,Tableau2[[#This Row],[Range stats]]&lt;=27,Tableau2[[#This Row],[Loyauté]]&lt;&gt;"Loyal"),AND(Tableau2[[#This Row],[Range stats]]&gt;=27,Tableau2[[#This Row],[Range stats]]&lt;=40,Tableau2[[#This Row],[Loyauté]]="Loyal")),1,0)</f>
        <v>1</v>
      </c>
      <c r="W19" s="14"/>
    </row>
    <row r="20" spans="1:23" x14ac:dyDescent="0.25">
      <c r="A20" s="1" t="s">
        <v>46</v>
      </c>
      <c r="B20" s="21" t="str">
        <f>Tableau2[[#This Row],[Phy min]] &amp; " - " &amp; Tableau2[[#This Row],[Phy max]]</f>
        <v>10 - 22</v>
      </c>
      <c r="C20" s="18">
        <v>10</v>
      </c>
      <c r="D20" s="18">
        <v>22</v>
      </c>
      <c r="E20" s="21" t="str">
        <f>Tableau2[[#This Row],[Men min]] &amp; " - " &amp; Tableau2[[#This Row],[Men max]]</f>
        <v>10 - 20</v>
      </c>
      <c r="F20" s="18">
        <v>10</v>
      </c>
      <c r="G20" s="18">
        <v>20</v>
      </c>
      <c r="H20" s="21" t="str">
        <f>Tableau2[[#This Row],[Cha min]] &amp; " - " &amp; Tableau2[[#This Row],[Cha max]]</f>
        <v>0 - 12</v>
      </c>
      <c r="I20" s="18">
        <v>0</v>
      </c>
      <c r="J20" s="18">
        <v>12</v>
      </c>
      <c r="K20" s="19">
        <f>Tableau2[[#This Row],[Phy min]]+Tableau2[[#This Row],[Men min]]+Tableau2[[#This Row],[Cha min]]</f>
        <v>20</v>
      </c>
      <c r="L20" s="19">
        <f>Tableau2[[#This Row],[Phy max]]+Tableau2[[#This Row],[Men max]]+Tableau2[[#This Row],[Cha max]]</f>
        <v>54</v>
      </c>
      <c r="M20" s="19">
        <f>MAX(Tableau2[[#This Row],[Max stats]]-Tableau2[[#This Row],[Min stats]],0)</f>
        <v>34</v>
      </c>
      <c r="N20" s="17">
        <f>ROUNDUP(AVERAGE(Tableau2[[#This Row],[Phy min]:[Phy max]])*WPHYSIC+AVERAGE(Tableau2[[#This Row],[Men min]:[Men max]])*WMENTAL+AVERAGE(Tableau2[[#This Row],[Cha min]:[Cha max]])*WCHARAC,0)</f>
        <v>8</v>
      </c>
      <c r="O20" s="2" t="s">
        <v>38</v>
      </c>
      <c r="P20" s="1" t="s">
        <v>9</v>
      </c>
      <c r="Q20" s="15" t="str">
        <f>IFERROR(VLOOKUP(Tableau2[[#This Row],[Alignement]],Alignement[],2,FALSE),"")</f>
        <v>Neutre</v>
      </c>
      <c r="R20" s="15" t="str">
        <f>IFERROR(VLOOKUP(Tableau2[[#This Row],[Alignement]],Alignement[],3,FALSE),"")</f>
        <v>Loyal</v>
      </c>
      <c r="S20" s="13">
        <f>IF(Tableau2[[#This Row],[Men min]]&lt;8,0,1)</f>
        <v>1</v>
      </c>
      <c r="T20" s="13">
        <f>IF(OR(AND(Tableau2[[#This Row],[Min stats]]&lt;=35,Tableau2[[#This Row],[Loyauté]]&lt;&gt;"Loyal"),AND(Tableau2[[#This Row],[Min stats]]&lt;=25,Tableau2[[#This Row],[Loyauté]]="Loyal")),1,0)</f>
        <v>1</v>
      </c>
      <c r="U20" s="13">
        <f>IF(Tableau2[[#This Row],[Max stats]]&gt;=43,1,0)</f>
        <v>1</v>
      </c>
      <c r="V20" s="13">
        <f>IF(OR(AND(Tableau2[[#This Row],[Range stats]]&gt;=15,Tableau2[[#This Row],[Range stats]]&lt;=27,Tableau2[[#This Row],[Loyauté]]&lt;&gt;"Loyal"),AND(Tableau2[[#This Row],[Range stats]]&gt;=27,Tableau2[[#This Row],[Range stats]]&lt;=40,Tableau2[[#This Row],[Loyauté]]="Loyal")),1,0)</f>
        <v>1</v>
      </c>
      <c r="W20" s="14"/>
    </row>
    <row r="21" spans="1:23" x14ac:dyDescent="0.25">
      <c r="A21" s="1" t="s">
        <v>59</v>
      </c>
      <c r="B21" s="21" t="str">
        <f>Tableau2[[#This Row],[Phy min]] &amp; " - " &amp; Tableau2[[#This Row],[Phy max]]</f>
        <v>10 - 18</v>
      </c>
      <c r="C21" s="18">
        <v>10</v>
      </c>
      <c r="D21" s="18">
        <v>18</v>
      </c>
      <c r="E21" s="21" t="str">
        <f>Tableau2[[#This Row],[Men min]] &amp; " - " &amp; Tableau2[[#This Row],[Men max]]</f>
        <v>12 - 20</v>
      </c>
      <c r="F21" s="18">
        <v>12</v>
      </c>
      <c r="G21" s="18">
        <v>20</v>
      </c>
      <c r="H21" s="21" t="str">
        <f>Tableau2[[#This Row],[Cha min]] &amp; " - " &amp; Tableau2[[#This Row],[Cha max]]</f>
        <v>10 - 18</v>
      </c>
      <c r="I21" s="18">
        <v>10</v>
      </c>
      <c r="J21" s="18">
        <v>18</v>
      </c>
      <c r="K21" s="19">
        <f>Tableau2[[#This Row],[Phy min]]+Tableau2[[#This Row],[Men min]]+Tableau2[[#This Row],[Cha min]]</f>
        <v>32</v>
      </c>
      <c r="L21" s="19">
        <f>Tableau2[[#This Row],[Phy max]]+Tableau2[[#This Row],[Men max]]+Tableau2[[#This Row],[Cha max]]</f>
        <v>56</v>
      </c>
      <c r="M21" s="19">
        <f>MAX(Tableau2[[#This Row],[Max stats]]-Tableau2[[#This Row],[Min stats]],0)</f>
        <v>24</v>
      </c>
      <c r="N21" s="17">
        <f>ROUNDUP(AVERAGE(Tableau2[[#This Row],[Phy min]:[Phy max]])*WPHYSIC+AVERAGE(Tableau2[[#This Row],[Men min]:[Men max]])*WMENTAL+AVERAGE(Tableau2[[#This Row],[Cha min]:[Cha max]])*WCHARAC,0)</f>
        <v>10</v>
      </c>
      <c r="O21" s="2" t="s">
        <v>41</v>
      </c>
      <c r="P21" s="1" t="s">
        <v>0</v>
      </c>
      <c r="Q21" s="15" t="str">
        <f>IFERROR(VLOOKUP(Tableau2[[#This Row],[Alignement]],Alignement[],2,FALSE),"")</f>
        <v>Mauvais</v>
      </c>
      <c r="R21" s="15" t="str">
        <f>IFERROR(VLOOKUP(Tableau2[[#This Row],[Alignement]],Alignement[],3,FALSE),"")</f>
        <v>Neutre</v>
      </c>
      <c r="S21" s="13">
        <f>IF(Tableau2[[#This Row],[Men min]]&lt;8,0,1)</f>
        <v>1</v>
      </c>
      <c r="T21" s="13">
        <f>IF(OR(AND(Tableau2[[#This Row],[Min stats]]&lt;=35,Tableau2[[#This Row],[Loyauté]]&lt;&gt;"Loyal"),AND(Tableau2[[#This Row],[Min stats]]&lt;=25,Tableau2[[#This Row],[Loyauté]]="Loyal")),1,0)</f>
        <v>1</v>
      </c>
      <c r="U21" s="13">
        <f>IF(Tableau2[[#This Row],[Max stats]]&gt;=43,1,0)</f>
        <v>1</v>
      </c>
      <c r="V21" s="13">
        <f>IF(OR(AND(Tableau2[[#This Row],[Range stats]]&gt;=15,Tableau2[[#This Row],[Range stats]]&lt;=27,Tableau2[[#This Row],[Loyauté]]&lt;&gt;"Loyal"),AND(Tableau2[[#This Row],[Range stats]]&gt;=27,Tableau2[[#This Row],[Range stats]]&lt;=40,Tableau2[[#This Row],[Loyauté]]="Loyal")),1,0)</f>
        <v>1</v>
      </c>
      <c r="W21" s="14"/>
    </row>
    <row r="22" spans="1:23" x14ac:dyDescent="0.25">
      <c r="A22" s="1" t="s">
        <v>52</v>
      </c>
      <c r="B22" s="21" t="str">
        <f>Tableau2[[#This Row],[Phy min]] &amp; " - " &amp; Tableau2[[#This Row],[Phy max]]</f>
        <v>6 - 18</v>
      </c>
      <c r="C22" s="18">
        <v>6</v>
      </c>
      <c r="D22" s="18">
        <v>18</v>
      </c>
      <c r="E22" s="21" t="str">
        <f>Tableau2[[#This Row],[Men min]] &amp; " - " &amp; Tableau2[[#This Row],[Men max]]</f>
        <v>8 - 20</v>
      </c>
      <c r="F22" s="18">
        <v>8</v>
      </c>
      <c r="G22" s="18">
        <v>20</v>
      </c>
      <c r="H22" s="21" t="str">
        <f>Tableau2[[#This Row],[Cha min]] &amp; " - " &amp; Tableau2[[#This Row],[Cha max]]</f>
        <v>8 - 20</v>
      </c>
      <c r="I22" s="18">
        <v>8</v>
      </c>
      <c r="J22" s="18">
        <v>20</v>
      </c>
      <c r="K22" s="19">
        <f>Tableau2[[#This Row],[Phy min]]+Tableau2[[#This Row],[Men min]]+Tableau2[[#This Row],[Cha min]]</f>
        <v>22</v>
      </c>
      <c r="L22" s="19">
        <f>Tableau2[[#This Row],[Phy max]]+Tableau2[[#This Row],[Men max]]+Tableau2[[#This Row],[Cha max]]</f>
        <v>58</v>
      </c>
      <c r="M22" s="19">
        <f>MAX(Tableau2[[#This Row],[Max stats]]-Tableau2[[#This Row],[Min stats]],0)</f>
        <v>36</v>
      </c>
      <c r="N22" s="17">
        <f>ROUNDUP(AVERAGE(Tableau2[[#This Row],[Phy min]:[Phy max]])*WPHYSIC+AVERAGE(Tableau2[[#This Row],[Men min]:[Men max]])*WMENTAL+AVERAGE(Tableau2[[#This Row],[Cha min]:[Cha max]])*WCHARAC,0)</f>
        <v>9</v>
      </c>
      <c r="O22" s="2" t="s">
        <v>42</v>
      </c>
      <c r="P22" s="1" t="s">
        <v>9</v>
      </c>
      <c r="Q22" s="15" t="str">
        <f>IFERROR(VLOOKUP(Tableau2[[#This Row],[Alignement]],Alignement[],2,FALSE),"")</f>
        <v>Neutre</v>
      </c>
      <c r="R22" s="15" t="str">
        <f>IFERROR(VLOOKUP(Tableau2[[#This Row],[Alignement]],Alignement[],3,FALSE),"")</f>
        <v>Loyal</v>
      </c>
      <c r="S22" s="13">
        <f>IF(Tableau2[[#This Row],[Men min]]&lt;8,0,1)</f>
        <v>1</v>
      </c>
      <c r="T22" s="13">
        <f>IF(OR(AND(Tableau2[[#This Row],[Min stats]]&lt;=35,Tableau2[[#This Row],[Loyauté]]&lt;&gt;"Loyal"),AND(Tableau2[[#This Row],[Min stats]]&lt;=25,Tableau2[[#This Row],[Loyauté]]="Loyal")),1,0)</f>
        <v>1</v>
      </c>
      <c r="U22" s="13">
        <f>IF(Tableau2[[#This Row],[Max stats]]&gt;=43,1,0)</f>
        <v>1</v>
      </c>
      <c r="V22" s="13">
        <f>IF(OR(AND(Tableau2[[#This Row],[Range stats]]&gt;=15,Tableau2[[#This Row],[Range stats]]&lt;=27,Tableau2[[#This Row],[Loyauté]]&lt;&gt;"Loyal"),AND(Tableau2[[#This Row],[Range stats]]&gt;=27,Tableau2[[#This Row],[Range stats]]&lt;=40,Tableau2[[#This Row],[Loyauté]]="Loyal")),1,0)</f>
        <v>1</v>
      </c>
      <c r="W22" s="14"/>
    </row>
    <row r="23" spans="1:23" x14ac:dyDescent="0.25">
      <c r="A23" s="1" t="s">
        <v>16</v>
      </c>
      <c r="B23" s="21" t="str">
        <f>Tableau2[[#This Row],[Phy min]] &amp; " - " &amp; Tableau2[[#This Row],[Phy max]]</f>
        <v>8 - 13</v>
      </c>
      <c r="C23" s="18">
        <v>8</v>
      </c>
      <c r="D23" s="18">
        <v>13</v>
      </c>
      <c r="E23" s="21" t="str">
        <f>Tableau2[[#This Row],[Men min]] &amp; " - " &amp; Tableau2[[#This Row],[Men max]]</f>
        <v>10 - 20</v>
      </c>
      <c r="F23" s="18">
        <v>10</v>
      </c>
      <c r="G23" s="18">
        <v>20</v>
      </c>
      <c r="H23" s="21" t="str">
        <f>Tableau2[[#This Row],[Cha min]] &amp; " - " &amp; Tableau2[[#This Row],[Cha max]]</f>
        <v>5 - 15</v>
      </c>
      <c r="I23" s="18">
        <v>5</v>
      </c>
      <c r="J23" s="18">
        <v>15</v>
      </c>
      <c r="K23" s="19">
        <f>Tableau2[[#This Row],[Phy min]]+Tableau2[[#This Row],[Men min]]+Tableau2[[#This Row],[Cha min]]</f>
        <v>23</v>
      </c>
      <c r="L23" s="19">
        <f>Tableau2[[#This Row],[Phy max]]+Tableau2[[#This Row],[Men max]]+Tableau2[[#This Row],[Cha max]]</f>
        <v>48</v>
      </c>
      <c r="M23" s="19">
        <f>MAX(Tableau2[[#This Row],[Max stats]]-Tableau2[[#This Row],[Min stats]],0)</f>
        <v>25</v>
      </c>
      <c r="N23" s="17">
        <f>ROUNDUP(AVERAGE(Tableau2[[#This Row],[Phy min]:[Phy max]])*WPHYSIC+AVERAGE(Tableau2[[#This Row],[Men min]:[Men max]])*WMENTAL+AVERAGE(Tableau2[[#This Row],[Cha min]:[Cha max]])*WCHARAC,0)</f>
        <v>8</v>
      </c>
      <c r="O23" s="2" t="s">
        <v>41</v>
      </c>
      <c r="P23" s="1" t="s">
        <v>5</v>
      </c>
      <c r="Q23" s="15" t="str">
        <f>IFERROR(VLOOKUP(Tableau2[[#This Row],[Alignement]],Alignement[],2,FALSE),"")</f>
        <v>Neutre</v>
      </c>
      <c r="R23" s="15" t="str">
        <f>IFERROR(VLOOKUP(Tableau2[[#This Row],[Alignement]],Alignement[],3,FALSE),"")</f>
        <v>Neutre</v>
      </c>
      <c r="S23" s="13">
        <f>IF(Tableau2[[#This Row],[Men min]]&lt;8,0,1)</f>
        <v>1</v>
      </c>
      <c r="T23" s="13">
        <f>IF(OR(AND(Tableau2[[#This Row],[Min stats]]&lt;=35,Tableau2[[#This Row],[Loyauté]]&lt;&gt;"Loyal"),AND(Tableau2[[#This Row],[Min stats]]&lt;=25,Tableau2[[#This Row],[Loyauté]]="Loyal")),1,0)</f>
        <v>1</v>
      </c>
      <c r="U23" s="13">
        <f>IF(Tableau2[[#This Row],[Max stats]]&gt;=43,1,0)</f>
        <v>1</v>
      </c>
      <c r="V23" s="13">
        <f>IF(OR(AND(Tableau2[[#This Row],[Range stats]]&gt;=15,Tableau2[[#This Row],[Range stats]]&lt;=27,Tableau2[[#This Row],[Loyauté]]&lt;&gt;"Loyal"),AND(Tableau2[[#This Row],[Range stats]]&gt;=27,Tableau2[[#This Row],[Range stats]]&lt;=40,Tableau2[[#This Row],[Loyauté]]="Loyal")),1,0)</f>
        <v>1</v>
      </c>
      <c r="W23" s="14"/>
    </row>
    <row r="24" spans="1:23" x14ac:dyDescent="0.25">
      <c r="A24" s="1" t="s">
        <v>49</v>
      </c>
      <c r="B24" s="21" t="str">
        <f>Tableau2[[#This Row],[Phy min]] &amp; " - " &amp; Tableau2[[#This Row],[Phy max]]</f>
        <v>18 - 28</v>
      </c>
      <c r="C24" s="18">
        <v>18</v>
      </c>
      <c r="D24" s="18">
        <v>28</v>
      </c>
      <c r="E24" s="21" t="str">
        <f>Tableau2[[#This Row],[Men min]] &amp; " - " &amp; Tableau2[[#This Row],[Men max]]</f>
        <v>0 - 10</v>
      </c>
      <c r="F24" s="18">
        <v>0</v>
      </c>
      <c r="G24" s="18">
        <v>10</v>
      </c>
      <c r="H24" s="21" t="str">
        <f>Tableau2[[#This Row],[Cha min]] &amp; " - " &amp; Tableau2[[#This Row],[Cha max]]</f>
        <v>3 - 10</v>
      </c>
      <c r="I24" s="18">
        <v>3</v>
      </c>
      <c r="J24" s="18">
        <v>10</v>
      </c>
      <c r="K24" s="19">
        <f>Tableau2[[#This Row],[Phy min]]+Tableau2[[#This Row],[Men min]]+Tableau2[[#This Row],[Cha min]]</f>
        <v>21</v>
      </c>
      <c r="L24" s="19">
        <f>Tableau2[[#This Row],[Phy max]]+Tableau2[[#This Row],[Men max]]+Tableau2[[#This Row],[Cha max]]</f>
        <v>48</v>
      </c>
      <c r="M24" s="19">
        <f>MAX(Tableau2[[#This Row],[Max stats]]-Tableau2[[#This Row],[Min stats]],0)</f>
        <v>27</v>
      </c>
      <c r="N24" s="17">
        <f>ROUNDUP(AVERAGE(Tableau2[[#This Row],[Phy min]:[Phy max]])*WPHYSIC+AVERAGE(Tableau2[[#This Row],[Men min]:[Men max]])*WMENTAL+AVERAGE(Tableau2[[#This Row],[Cha min]:[Cha max]])*WCHARAC,0)</f>
        <v>7</v>
      </c>
      <c r="O24" s="2" t="s">
        <v>38</v>
      </c>
      <c r="P24" s="1" t="s">
        <v>4</v>
      </c>
      <c r="Q24" s="15" t="str">
        <f>IFERROR(VLOOKUP(Tableau2[[#This Row],[Alignement]],Alignement[],2,FALSE),"")</f>
        <v>Neutre</v>
      </c>
      <c r="R24" s="15" t="str">
        <f>IFERROR(VLOOKUP(Tableau2[[#This Row],[Alignement]],Alignement[],3,FALSE),"")</f>
        <v>Chaotique</v>
      </c>
      <c r="S24" s="13">
        <f>IF(Tableau2[[#This Row],[Men min]]&lt;8,0,1)</f>
        <v>0</v>
      </c>
      <c r="T24" s="13">
        <f>IF(OR(AND(Tableau2[[#This Row],[Min stats]]&lt;=35,Tableau2[[#This Row],[Loyauté]]&lt;&gt;"Loyal"),AND(Tableau2[[#This Row],[Min stats]]&lt;=25,Tableau2[[#This Row],[Loyauté]]="Loyal")),1,0)</f>
        <v>1</v>
      </c>
      <c r="U24" s="13">
        <f>IF(Tableau2[[#This Row],[Max stats]]&gt;=43,1,0)</f>
        <v>1</v>
      </c>
      <c r="V24" s="13">
        <f>IF(OR(AND(Tableau2[[#This Row],[Range stats]]&gt;=15,Tableau2[[#This Row],[Range stats]]&lt;=27,Tableau2[[#This Row],[Loyauté]]&lt;&gt;"Loyal"),AND(Tableau2[[#This Row],[Range stats]]&gt;=27,Tableau2[[#This Row],[Range stats]]&lt;=40,Tableau2[[#This Row],[Loyauté]]="Loyal")),1,0)</f>
        <v>1</v>
      </c>
      <c r="W24" s="14"/>
    </row>
    <row r="25" spans="1:23" x14ac:dyDescent="0.25">
      <c r="A25" s="1" t="s">
        <v>19</v>
      </c>
      <c r="B25" s="21" t="str">
        <f>Tableau2[[#This Row],[Phy min]] &amp; " - " &amp; Tableau2[[#This Row],[Phy max]]</f>
        <v>10 - 20</v>
      </c>
      <c r="C25" s="18">
        <v>10</v>
      </c>
      <c r="D25" s="18">
        <v>20</v>
      </c>
      <c r="E25" s="21" t="str">
        <f>Tableau2[[#This Row],[Men min]] &amp; " - " &amp; Tableau2[[#This Row],[Men max]]</f>
        <v>10 - 18</v>
      </c>
      <c r="F25" s="18">
        <v>10</v>
      </c>
      <c r="G25" s="18">
        <v>18</v>
      </c>
      <c r="H25" s="21" t="str">
        <f>Tableau2[[#This Row],[Cha min]] &amp; " - " &amp; Tableau2[[#This Row],[Cha max]]</f>
        <v>12 - 20</v>
      </c>
      <c r="I25" s="18">
        <v>12</v>
      </c>
      <c r="J25" s="18">
        <v>20</v>
      </c>
      <c r="K25" s="19">
        <f>Tableau2[[#This Row],[Phy min]]+Tableau2[[#This Row],[Men min]]+Tableau2[[#This Row],[Cha min]]</f>
        <v>32</v>
      </c>
      <c r="L25" s="19">
        <f>Tableau2[[#This Row],[Phy max]]+Tableau2[[#This Row],[Men max]]+Tableau2[[#This Row],[Cha max]]</f>
        <v>58</v>
      </c>
      <c r="M25" s="19">
        <f>MAX(Tableau2[[#This Row],[Max stats]]-Tableau2[[#This Row],[Min stats]],0)</f>
        <v>26</v>
      </c>
      <c r="N25" s="17">
        <f>ROUNDUP(AVERAGE(Tableau2[[#This Row],[Phy min]:[Phy max]])*WPHYSIC+AVERAGE(Tableau2[[#This Row],[Men min]:[Men max]])*WMENTAL+AVERAGE(Tableau2[[#This Row],[Cha min]:[Cha max]])*WCHARAC,0)</f>
        <v>10</v>
      </c>
      <c r="O25" s="2" t="s">
        <v>43</v>
      </c>
      <c r="P25" s="1" t="s">
        <v>0</v>
      </c>
      <c r="Q25" s="15" t="str">
        <f>IFERROR(VLOOKUP(Tableau2[[#This Row],[Alignement]],Alignement[],2,FALSE),"")</f>
        <v>Mauvais</v>
      </c>
      <c r="R25" s="15" t="str">
        <f>IFERROR(VLOOKUP(Tableau2[[#This Row],[Alignement]],Alignement[],3,FALSE),"")</f>
        <v>Neutre</v>
      </c>
      <c r="S25" s="13">
        <f>IF(Tableau2[[#This Row],[Men min]]&lt;8,0,1)</f>
        <v>1</v>
      </c>
      <c r="T25" s="13">
        <f>IF(OR(AND(Tableau2[[#This Row],[Min stats]]&lt;=35,Tableau2[[#This Row],[Loyauté]]&lt;&gt;"Loyal"),AND(Tableau2[[#This Row],[Min stats]]&lt;=25,Tableau2[[#This Row],[Loyauté]]="Loyal")),1,0)</f>
        <v>1</v>
      </c>
      <c r="U25" s="13">
        <f>IF(Tableau2[[#This Row],[Max stats]]&gt;=43,1,0)</f>
        <v>1</v>
      </c>
      <c r="V25" s="13">
        <f>IF(OR(AND(Tableau2[[#This Row],[Range stats]]&gt;=15,Tableau2[[#This Row],[Range stats]]&lt;=27,Tableau2[[#This Row],[Loyauté]]&lt;&gt;"Loyal"),AND(Tableau2[[#This Row],[Range stats]]&gt;=27,Tableau2[[#This Row],[Range stats]]&lt;=40,Tableau2[[#This Row],[Loyauté]]="Loyal")),1,0)</f>
        <v>1</v>
      </c>
      <c r="W25" s="14"/>
    </row>
    <row r="26" spans="1:23" x14ac:dyDescent="0.25">
      <c r="A26" s="1" t="s">
        <v>50</v>
      </c>
      <c r="B26" s="21" t="str">
        <f>Tableau2[[#This Row],[Phy min]] &amp; " - " &amp; Tableau2[[#This Row],[Phy max]]</f>
        <v>15 - 27</v>
      </c>
      <c r="C26" s="18">
        <v>15</v>
      </c>
      <c r="D26" s="18">
        <v>27</v>
      </c>
      <c r="E26" s="21" t="str">
        <f>Tableau2[[#This Row],[Men min]] &amp; " - " &amp; Tableau2[[#This Row],[Men max]]</f>
        <v>10 - 15</v>
      </c>
      <c r="F26" s="18">
        <v>10</v>
      </c>
      <c r="G26" s="18">
        <v>15</v>
      </c>
      <c r="H26" s="21" t="str">
        <f>Tableau2[[#This Row],[Cha min]] &amp; " - " &amp; Tableau2[[#This Row],[Cha max]]</f>
        <v>10 - 20</v>
      </c>
      <c r="I26" s="18">
        <v>10</v>
      </c>
      <c r="J26" s="18">
        <v>20</v>
      </c>
      <c r="K26" s="19">
        <f>Tableau2[[#This Row],[Phy min]]+Tableau2[[#This Row],[Men min]]+Tableau2[[#This Row],[Cha min]]</f>
        <v>35</v>
      </c>
      <c r="L26" s="19">
        <f>Tableau2[[#This Row],[Phy max]]+Tableau2[[#This Row],[Men max]]+Tableau2[[#This Row],[Cha max]]</f>
        <v>62</v>
      </c>
      <c r="M26" s="19">
        <f>MAX(Tableau2[[#This Row],[Max stats]]-Tableau2[[#This Row],[Min stats]],0)</f>
        <v>27</v>
      </c>
      <c r="N26" s="17">
        <f>ROUNDUP(AVERAGE(Tableau2[[#This Row],[Phy min]:[Phy max]])*WPHYSIC+AVERAGE(Tableau2[[#This Row],[Men min]:[Men max]])*WMENTAL+AVERAGE(Tableau2[[#This Row],[Cha min]:[Cha max]])*WCHARAC,0)</f>
        <v>11</v>
      </c>
      <c r="O26" s="2" t="s">
        <v>39</v>
      </c>
      <c r="P26" s="1" t="s">
        <v>8</v>
      </c>
      <c r="Q26" s="15" t="str">
        <f>IFERROR(VLOOKUP(Tableau2[[#This Row],[Alignement]],Alignement[],2,FALSE),"")</f>
        <v>Mauvais</v>
      </c>
      <c r="R26" s="15" t="str">
        <f>IFERROR(VLOOKUP(Tableau2[[#This Row],[Alignement]],Alignement[],3,FALSE),"")</f>
        <v>Chaotique</v>
      </c>
      <c r="S26" s="13">
        <f>IF(Tableau2[[#This Row],[Men min]]&lt;8,0,1)</f>
        <v>1</v>
      </c>
      <c r="T26" s="13">
        <f>IF(OR(AND(Tableau2[[#This Row],[Min stats]]&lt;=35,Tableau2[[#This Row],[Loyauté]]&lt;&gt;"Loyal"),AND(Tableau2[[#This Row],[Min stats]]&lt;=25,Tableau2[[#This Row],[Loyauté]]="Loyal")),1,0)</f>
        <v>1</v>
      </c>
      <c r="U26" s="13">
        <f>IF(Tableau2[[#This Row],[Max stats]]&gt;=43,1,0)</f>
        <v>1</v>
      </c>
      <c r="V26" s="13">
        <f>IF(OR(AND(Tableau2[[#This Row],[Range stats]]&gt;=15,Tableau2[[#This Row],[Range stats]]&lt;=27,Tableau2[[#This Row],[Loyauté]]&lt;&gt;"Loyal"),AND(Tableau2[[#This Row],[Range stats]]&gt;=27,Tableau2[[#This Row],[Range stats]]&lt;=40,Tableau2[[#This Row],[Loyauté]]="Loyal")),1,0)</f>
        <v>1</v>
      </c>
      <c r="W26" s="14"/>
    </row>
    <row r="27" spans="1:23" x14ac:dyDescent="0.25">
      <c r="A27" s="1" t="s">
        <v>63</v>
      </c>
      <c r="B27" s="21" t="str">
        <f>Tableau2[[#This Row],[Phy min]] &amp; " - " &amp; Tableau2[[#This Row],[Phy max]]</f>
        <v>12 - 20</v>
      </c>
      <c r="C27" s="18">
        <v>12</v>
      </c>
      <c r="D27" s="18">
        <v>20</v>
      </c>
      <c r="E27" s="21" t="str">
        <f>Tableau2[[#This Row],[Men min]] &amp; " - " &amp; Tableau2[[#This Row],[Men max]]</f>
        <v>8 - 18</v>
      </c>
      <c r="F27" s="18">
        <v>8</v>
      </c>
      <c r="G27" s="18">
        <v>18</v>
      </c>
      <c r="H27" s="21" t="str">
        <f>Tableau2[[#This Row],[Cha min]] &amp; " - " &amp; Tableau2[[#This Row],[Cha max]]</f>
        <v>12 - 20</v>
      </c>
      <c r="I27" s="18">
        <v>12</v>
      </c>
      <c r="J27" s="18">
        <v>20</v>
      </c>
      <c r="K27" s="19">
        <f>Tableau2[[#This Row],[Phy min]]+Tableau2[[#This Row],[Men min]]+Tableau2[[#This Row],[Cha min]]</f>
        <v>32</v>
      </c>
      <c r="L27" s="19">
        <f>Tableau2[[#This Row],[Phy max]]+Tableau2[[#This Row],[Men max]]+Tableau2[[#This Row],[Cha max]]</f>
        <v>58</v>
      </c>
      <c r="M27" s="19">
        <f>MAX(Tableau2[[#This Row],[Max stats]]-Tableau2[[#This Row],[Min stats]],0)</f>
        <v>26</v>
      </c>
      <c r="N27" s="17">
        <f>ROUNDUP(AVERAGE(Tableau2[[#This Row],[Phy min]:[Phy max]])*WPHYSIC+AVERAGE(Tableau2[[#This Row],[Men min]:[Men max]])*WMENTAL+AVERAGE(Tableau2[[#This Row],[Cha min]:[Cha max]])*WCHARAC,0)</f>
        <v>10</v>
      </c>
      <c r="O27" s="2" t="s">
        <v>43</v>
      </c>
      <c r="P27" s="1" t="s">
        <v>8</v>
      </c>
      <c r="Q27" s="15" t="str">
        <f>IFERROR(VLOOKUP(Tableau2[[#This Row],[Alignement]],Alignement[],2,FALSE),"")</f>
        <v>Mauvais</v>
      </c>
      <c r="R27" s="15" t="str">
        <f>IFERROR(VLOOKUP(Tableau2[[#This Row],[Alignement]],Alignement[],3,FALSE),"")</f>
        <v>Chaotique</v>
      </c>
      <c r="S27" s="13">
        <f>IF(Tableau2[[#This Row],[Men min]]&lt;8,0,1)</f>
        <v>1</v>
      </c>
      <c r="T27" s="13">
        <f>IF(OR(AND(Tableau2[[#This Row],[Min stats]]&lt;=35,Tableau2[[#This Row],[Loyauté]]&lt;&gt;"Loyal"),AND(Tableau2[[#This Row],[Min stats]]&lt;=25,Tableau2[[#This Row],[Loyauté]]="Loyal")),1,0)</f>
        <v>1</v>
      </c>
      <c r="U27" s="13">
        <f>IF(Tableau2[[#This Row],[Max stats]]&gt;=43,1,0)</f>
        <v>1</v>
      </c>
      <c r="V27" s="13">
        <f>IF(OR(AND(Tableau2[[#This Row],[Range stats]]&gt;=15,Tableau2[[#This Row],[Range stats]]&lt;=27,Tableau2[[#This Row],[Loyauté]]&lt;&gt;"Loyal"),AND(Tableau2[[#This Row],[Range stats]]&gt;=27,Tableau2[[#This Row],[Range stats]]&lt;=40,Tableau2[[#This Row],[Loyauté]]="Loyal")),1,0)</f>
        <v>1</v>
      </c>
      <c r="W27" s="14"/>
    </row>
    <row r="28" spans="1:23" x14ac:dyDescent="0.25">
      <c r="A28" s="1" t="s">
        <v>79</v>
      </c>
      <c r="B28" s="21" t="str">
        <f>Tableau2[[#This Row],[Phy min]] &amp; " - " &amp; Tableau2[[#This Row],[Phy max]]</f>
        <v>15 - 23</v>
      </c>
      <c r="C28" s="18">
        <v>15</v>
      </c>
      <c r="D28" s="18">
        <v>23</v>
      </c>
      <c r="E28" s="21" t="str">
        <f>Tableau2[[#This Row],[Men min]] &amp; " - " &amp; Tableau2[[#This Row],[Men max]]</f>
        <v>8 - 15</v>
      </c>
      <c r="F28" s="18">
        <v>8</v>
      </c>
      <c r="G28" s="18">
        <v>15</v>
      </c>
      <c r="H28" s="21" t="str">
        <f>Tableau2[[#This Row],[Cha min]] &amp; " - " &amp; Tableau2[[#This Row],[Cha max]]</f>
        <v>10 - 18</v>
      </c>
      <c r="I28" s="18">
        <v>10</v>
      </c>
      <c r="J28" s="18">
        <v>18</v>
      </c>
      <c r="K28" s="19">
        <f>Tableau2[[#This Row],[Phy min]]+Tableau2[[#This Row],[Men min]]+Tableau2[[#This Row],[Cha min]]</f>
        <v>33</v>
      </c>
      <c r="L28" s="19">
        <f>Tableau2[[#This Row],[Phy max]]+Tableau2[[#This Row],[Men max]]+Tableau2[[#This Row],[Cha max]]</f>
        <v>56</v>
      </c>
      <c r="M28" s="19">
        <f>MAX(Tableau2[[#This Row],[Max stats]]-Tableau2[[#This Row],[Min stats]],0)</f>
        <v>23</v>
      </c>
      <c r="N28" s="17">
        <f>ROUNDUP(AVERAGE(Tableau2[[#This Row],[Phy min]:[Phy max]])*WPHYSIC+AVERAGE(Tableau2[[#This Row],[Men min]:[Men max]])*WMENTAL+AVERAGE(Tableau2[[#This Row],[Cha min]:[Cha max]])*WCHARAC,0)</f>
        <v>10</v>
      </c>
      <c r="O28" s="2" t="s">
        <v>38</v>
      </c>
      <c r="P28" s="1" t="s">
        <v>6</v>
      </c>
      <c r="Q28" s="15" t="str">
        <f>IFERROR(VLOOKUP(Tableau2[[#This Row],[Alignement]],Alignement[],2,FALSE),"")</f>
        <v>Bon</v>
      </c>
      <c r="R28" s="15" t="str">
        <f>IFERROR(VLOOKUP(Tableau2[[#This Row],[Alignement]],Alignement[],3,FALSE),"")</f>
        <v>Chaotique</v>
      </c>
      <c r="S28" s="13">
        <f>IF(Tableau2[[#This Row],[Men min]]&lt;8,0,1)</f>
        <v>1</v>
      </c>
      <c r="T28" s="13">
        <f>IF(OR(AND(Tableau2[[#This Row],[Min stats]]&lt;=35,Tableau2[[#This Row],[Loyauté]]&lt;&gt;"Loyal"),AND(Tableau2[[#This Row],[Min stats]]&lt;=25,Tableau2[[#This Row],[Loyauté]]="Loyal")),1,0)</f>
        <v>1</v>
      </c>
      <c r="U28" s="13">
        <f>IF(Tableau2[[#This Row],[Max stats]]&gt;=43,1,0)</f>
        <v>1</v>
      </c>
      <c r="V28" s="13">
        <f>IF(OR(AND(Tableau2[[#This Row],[Range stats]]&gt;=15,Tableau2[[#This Row],[Range stats]]&lt;=27,Tableau2[[#This Row],[Loyauté]]&lt;&gt;"Loyal"),AND(Tableau2[[#This Row],[Range stats]]&gt;=27,Tableau2[[#This Row],[Range stats]]&lt;=40,Tableau2[[#This Row],[Loyauté]]="Loyal")),1,0)</f>
        <v>1</v>
      </c>
      <c r="W28" s="14"/>
    </row>
    <row r="29" spans="1:23" x14ac:dyDescent="0.25">
      <c r="A29" t="s">
        <v>44</v>
      </c>
      <c r="B29" s="21" t="str">
        <f>Tableau2[[#This Row],[Phy min]] &amp; " - " &amp; Tableau2[[#This Row],[Phy max]]</f>
        <v>8 - 18</v>
      </c>
      <c r="C29" s="18">
        <v>8</v>
      </c>
      <c r="D29" s="18">
        <v>18</v>
      </c>
      <c r="E29" s="21" t="str">
        <f>Tableau2[[#This Row],[Men min]] &amp; " - " &amp; Tableau2[[#This Row],[Men max]]</f>
        <v>12 - 20</v>
      </c>
      <c r="F29" s="18">
        <v>12</v>
      </c>
      <c r="G29" s="18">
        <v>20</v>
      </c>
      <c r="H29" s="21" t="str">
        <f>Tableau2[[#This Row],[Cha min]] &amp; " - " &amp; Tableau2[[#This Row],[Cha max]]</f>
        <v>5 - 12</v>
      </c>
      <c r="I29" s="18">
        <v>5</v>
      </c>
      <c r="J29" s="18">
        <v>12</v>
      </c>
      <c r="K29" s="19">
        <f>Tableau2[[#This Row],[Phy min]]+Tableau2[[#This Row],[Men min]]+Tableau2[[#This Row],[Cha min]]</f>
        <v>25</v>
      </c>
      <c r="L29" s="19">
        <f>Tableau2[[#This Row],[Phy max]]+Tableau2[[#This Row],[Men max]]+Tableau2[[#This Row],[Cha max]]</f>
        <v>50</v>
      </c>
      <c r="M29" s="19">
        <f>MAX(Tableau2[[#This Row],[Max stats]]-Tableau2[[#This Row],[Min stats]],0)</f>
        <v>25</v>
      </c>
      <c r="N29" s="17">
        <f>ROUNDUP(AVERAGE(Tableau2[[#This Row],[Phy min]:[Phy max]])*WPHYSIC+AVERAGE(Tableau2[[#This Row],[Men min]:[Men max]])*WMENTAL+AVERAGE(Tableau2[[#This Row],[Cha min]:[Cha max]])*WCHARAC,0)</f>
        <v>8</v>
      </c>
      <c r="O29" s="2" t="s">
        <v>40</v>
      </c>
      <c r="P29" s="1" t="s">
        <v>6</v>
      </c>
      <c r="Q29" s="15" t="str">
        <f>IFERROR(VLOOKUP(Tableau2[[#This Row],[Alignement]],Alignement[],2,FALSE),"")</f>
        <v>Bon</v>
      </c>
      <c r="R29" s="15" t="str">
        <f>IFERROR(VLOOKUP(Tableau2[[#This Row],[Alignement]],Alignement[],3,FALSE),"")</f>
        <v>Chaotique</v>
      </c>
      <c r="S29" s="13">
        <f>IF(Tableau2[[#This Row],[Men min]]&lt;8,0,1)</f>
        <v>1</v>
      </c>
      <c r="T29" s="13">
        <f>IF(OR(AND(Tableau2[[#This Row],[Min stats]]&lt;=35,Tableau2[[#This Row],[Loyauté]]&lt;&gt;"Loyal"),AND(Tableau2[[#This Row],[Min stats]]&lt;=25,Tableau2[[#This Row],[Loyauté]]="Loyal")),1,0)</f>
        <v>1</v>
      </c>
      <c r="U29" s="13">
        <f>IF(Tableau2[[#This Row],[Max stats]]&gt;=43,1,0)</f>
        <v>1</v>
      </c>
      <c r="V29" s="13">
        <f>IF(OR(AND(Tableau2[[#This Row],[Range stats]]&gt;=15,Tableau2[[#This Row],[Range stats]]&lt;=27,Tableau2[[#This Row],[Loyauté]]&lt;&gt;"Loyal"),AND(Tableau2[[#This Row],[Range stats]]&gt;=27,Tableau2[[#This Row],[Range stats]]&lt;=40,Tableau2[[#This Row],[Loyauté]]="Loyal")),1,0)</f>
        <v>1</v>
      </c>
      <c r="W29" s="14"/>
    </row>
    <row r="30" spans="1:23" x14ac:dyDescent="0.25">
      <c r="A30" s="1" t="s">
        <v>48</v>
      </c>
      <c r="B30" s="21" t="str">
        <f>Tableau2[[#This Row],[Phy min]] &amp; " - " &amp; Tableau2[[#This Row],[Phy max]]</f>
        <v>17 - 28</v>
      </c>
      <c r="C30" s="18">
        <v>17</v>
      </c>
      <c r="D30" s="18">
        <v>28</v>
      </c>
      <c r="E30" s="21" t="str">
        <f>Tableau2[[#This Row],[Men min]] &amp; " - " &amp; Tableau2[[#This Row],[Men max]]</f>
        <v>8 - 15</v>
      </c>
      <c r="F30" s="18">
        <v>8</v>
      </c>
      <c r="G30" s="18">
        <v>15</v>
      </c>
      <c r="H30" s="21" t="str">
        <f>Tableau2[[#This Row],[Cha min]] &amp; " - " &amp; Tableau2[[#This Row],[Cha max]]</f>
        <v>10 - 18</v>
      </c>
      <c r="I30" s="18">
        <v>10</v>
      </c>
      <c r="J30" s="18">
        <v>18</v>
      </c>
      <c r="K30" s="19">
        <f>Tableau2[[#This Row],[Phy min]]+Tableau2[[#This Row],[Men min]]+Tableau2[[#This Row],[Cha min]]</f>
        <v>35</v>
      </c>
      <c r="L30" s="19">
        <f>Tableau2[[#This Row],[Phy max]]+Tableau2[[#This Row],[Men max]]+Tableau2[[#This Row],[Cha max]]</f>
        <v>61</v>
      </c>
      <c r="M30" s="19">
        <f>MAX(Tableau2[[#This Row],[Max stats]]-Tableau2[[#This Row],[Min stats]],0)</f>
        <v>26</v>
      </c>
      <c r="N30" s="17">
        <f>ROUNDUP(AVERAGE(Tableau2[[#This Row],[Phy min]:[Phy max]])*WPHYSIC+AVERAGE(Tableau2[[#This Row],[Men min]:[Men max]])*WMENTAL+AVERAGE(Tableau2[[#This Row],[Cha min]:[Cha max]])*WCHARAC,0)</f>
        <v>10</v>
      </c>
      <c r="O30" s="2" t="s">
        <v>37</v>
      </c>
      <c r="P30" s="1" t="s">
        <v>8</v>
      </c>
      <c r="Q30" s="15" t="str">
        <f>IFERROR(VLOOKUP(Tableau2[[#This Row],[Alignement]],Alignement[],2,FALSE),"")</f>
        <v>Mauvais</v>
      </c>
      <c r="R30" s="15" t="str">
        <f>IFERROR(VLOOKUP(Tableau2[[#This Row],[Alignement]],Alignement[],3,FALSE),"")</f>
        <v>Chaotique</v>
      </c>
      <c r="S30" s="13">
        <f>IF(Tableau2[[#This Row],[Men min]]&lt;8,0,1)</f>
        <v>1</v>
      </c>
      <c r="T30" s="13">
        <f>IF(OR(AND(Tableau2[[#This Row],[Min stats]]&lt;=35,Tableau2[[#This Row],[Loyauté]]&lt;&gt;"Loyal"),AND(Tableau2[[#This Row],[Min stats]]&lt;=25,Tableau2[[#This Row],[Loyauté]]="Loyal")),1,0)</f>
        <v>1</v>
      </c>
      <c r="U30" s="13">
        <f>IF(Tableau2[[#This Row],[Max stats]]&gt;=43,1,0)</f>
        <v>1</v>
      </c>
      <c r="V30" s="13">
        <f>IF(OR(AND(Tableau2[[#This Row],[Range stats]]&gt;=15,Tableau2[[#This Row],[Range stats]]&lt;=27,Tableau2[[#This Row],[Loyauté]]&lt;&gt;"Loyal"),AND(Tableau2[[#This Row],[Range stats]]&gt;=27,Tableau2[[#This Row],[Range stats]]&lt;=40,Tableau2[[#This Row],[Loyauté]]="Loyal")),1,0)</f>
        <v>1</v>
      </c>
      <c r="W30" s="14"/>
    </row>
    <row r="31" spans="1:23" x14ac:dyDescent="0.25">
      <c r="A31" s="1" t="s">
        <v>20</v>
      </c>
      <c r="B31" s="21" t="str">
        <f>Tableau2[[#This Row],[Phy min]] &amp; " - " &amp; Tableau2[[#This Row],[Phy max]]</f>
        <v>18 - 22</v>
      </c>
      <c r="C31" s="18">
        <v>18</v>
      </c>
      <c r="D31" s="18">
        <v>22</v>
      </c>
      <c r="E31" s="21" t="str">
        <f>Tableau2[[#This Row],[Men min]] &amp; " - " &amp; Tableau2[[#This Row],[Men max]]</f>
        <v>3 - 13</v>
      </c>
      <c r="F31" s="18">
        <v>3</v>
      </c>
      <c r="G31" s="18">
        <v>13</v>
      </c>
      <c r="H31" s="21" t="str">
        <f>Tableau2[[#This Row],[Cha min]] &amp; " - " &amp; Tableau2[[#This Row],[Cha max]]</f>
        <v>10 - 20</v>
      </c>
      <c r="I31" s="18">
        <v>10</v>
      </c>
      <c r="J31" s="18">
        <v>20</v>
      </c>
      <c r="K31" s="19">
        <f>Tableau2[[#This Row],[Phy min]]+Tableau2[[#This Row],[Men min]]+Tableau2[[#This Row],[Cha min]]</f>
        <v>31</v>
      </c>
      <c r="L31" s="19">
        <f>Tableau2[[#This Row],[Phy max]]+Tableau2[[#This Row],[Men max]]+Tableau2[[#This Row],[Cha max]]</f>
        <v>55</v>
      </c>
      <c r="M31" s="19">
        <f>MAX(Tableau2[[#This Row],[Max stats]]-Tableau2[[#This Row],[Min stats]],0)</f>
        <v>24</v>
      </c>
      <c r="N31" s="17">
        <f>ROUNDUP(AVERAGE(Tableau2[[#This Row],[Phy min]:[Phy max]])*WPHYSIC+AVERAGE(Tableau2[[#This Row],[Men min]:[Men max]])*WMENTAL+AVERAGE(Tableau2[[#This Row],[Cha min]:[Cha max]])*WCHARAC,0)</f>
        <v>10</v>
      </c>
      <c r="O31" s="2" t="s">
        <v>37</v>
      </c>
      <c r="P31" s="1" t="s">
        <v>8</v>
      </c>
      <c r="Q31" s="15" t="str">
        <f>IFERROR(VLOOKUP(Tableau2[[#This Row],[Alignement]],Alignement[],2,FALSE),"")</f>
        <v>Mauvais</v>
      </c>
      <c r="R31" s="15" t="str">
        <f>IFERROR(VLOOKUP(Tableau2[[#This Row],[Alignement]],Alignement[],3,FALSE),"")</f>
        <v>Chaotique</v>
      </c>
      <c r="S31" s="13">
        <f>IF(Tableau2[[#This Row],[Men min]]&lt;8,0,1)</f>
        <v>0</v>
      </c>
      <c r="T31" s="13">
        <f>IF(OR(AND(Tableau2[[#This Row],[Min stats]]&lt;=35,Tableau2[[#This Row],[Loyauté]]&lt;&gt;"Loyal"),AND(Tableau2[[#This Row],[Min stats]]&lt;=25,Tableau2[[#This Row],[Loyauté]]="Loyal")),1,0)</f>
        <v>1</v>
      </c>
      <c r="U31" s="13">
        <f>IF(Tableau2[[#This Row],[Max stats]]&gt;=43,1,0)</f>
        <v>1</v>
      </c>
      <c r="V31" s="13">
        <f>IF(OR(AND(Tableau2[[#This Row],[Range stats]]&gt;=15,Tableau2[[#This Row],[Range stats]]&lt;=27,Tableau2[[#This Row],[Loyauté]]&lt;&gt;"Loyal"),AND(Tableau2[[#This Row],[Range stats]]&gt;=27,Tableau2[[#This Row],[Range stats]]&lt;=40,Tableau2[[#This Row],[Loyauté]]="Loyal")),1,0)</f>
        <v>1</v>
      </c>
      <c r="W31" s="14"/>
    </row>
    <row r="32" spans="1:23" x14ac:dyDescent="0.25">
      <c r="A32" s="1" t="s">
        <v>56</v>
      </c>
      <c r="B32" s="21" t="str">
        <f>Tableau2[[#This Row],[Phy min]] &amp; " - " &amp; Tableau2[[#This Row],[Phy max]]</f>
        <v>12 - 25</v>
      </c>
      <c r="C32" s="18">
        <v>12</v>
      </c>
      <c r="D32" s="18">
        <v>25</v>
      </c>
      <c r="E32" s="21" t="str">
        <f>Tableau2[[#This Row],[Men min]] &amp; " - " &amp; Tableau2[[#This Row],[Men max]]</f>
        <v>8 - 20</v>
      </c>
      <c r="F32" s="18">
        <v>8</v>
      </c>
      <c r="G32" s="18">
        <v>20</v>
      </c>
      <c r="H32" s="21" t="str">
        <f>Tableau2[[#This Row],[Cha min]] &amp; " - " &amp; Tableau2[[#This Row],[Cha max]]</f>
        <v>5 - 18</v>
      </c>
      <c r="I32" s="18">
        <v>5</v>
      </c>
      <c r="J32" s="18">
        <v>18</v>
      </c>
      <c r="K32" s="19">
        <f>Tableau2[[#This Row],[Phy min]]+Tableau2[[#This Row],[Men min]]+Tableau2[[#This Row],[Cha min]]</f>
        <v>25</v>
      </c>
      <c r="L32" s="19">
        <f>Tableau2[[#This Row],[Phy max]]+Tableau2[[#This Row],[Men max]]+Tableau2[[#This Row],[Cha max]]</f>
        <v>63</v>
      </c>
      <c r="M32" s="19">
        <f>MAX(Tableau2[[#This Row],[Max stats]]-Tableau2[[#This Row],[Min stats]],0)</f>
        <v>38</v>
      </c>
      <c r="N32" s="17">
        <f>ROUNDUP(AVERAGE(Tableau2[[#This Row],[Phy min]:[Phy max]])*WPHYSIC+AVERAGE(Tableau2[[#This Row],[Men min]:[Men max]])*WMENTAL+AVERAGE(Tableau2[[#This Row],[Cha min]:[Cha max]])*WCHARAC,0)</f>
        <v>10</v>
      </c>
      <c r="O32" s="2" t="s">
        <v>39</v>
      </c>
      <c r="P32" s="1" t="s">
        <v>11</v>
      </c>
      <c r="Q32" s="15" t="str">
        <f>IFERROR(VLOOKUP(Tableau2[[#This Row],[Alignement]],Alignement[],2,FALSE),"")</f>
        <v>Mauvais</v>
      </c>
      <c r="R32" s="15" t="str">
        <f>IFERROR(VLOOKUP(Tableau2[[#This Row],[Alignement]],Alignement[],3,FALSE),"")</f>
        <v>Loyal</v>
      </c>
      <c r="S32" s="13">
        <f>IF(Tableau2[[#This Row],[Men min]]&lt;8,0,1)</f>
        <v>1</v>
      </c>
      <c r="T32" s="13">
        <f>IF(OR(AND(Tableau2[[#This Row],[Min stats]]&lt;=35,Tableau2[[#This Row],[Loyauté]]&lt;&gt;"Loyal"),AND(Tableau2[[#This Row],[Min stats]]&lt;=25,Tableau2[[#This Row],[Loyauté]]="Loyal")),1,0)</f>
        <v>1</v>
      </c>
      <c r="U32" s="13">
        <f>IF(Tableau2[[#This Row],[Max stats]]&gt;=43,1,0)</f>
        <v>1</v>
      </c>
      <c r="V32" s="13">
        <f>IF(OR(AND(Tableau2[[#This Row],[Range stats]]&gt;=15,Tableau2[[#This Row],[Range stats]]&lt;=27,Tableau2[[#This Row],[Loyauté]]&lt;&gt;"Loyal"),AND(Tableau2[[#This Row],[Range stats]]&gt;=27,Tableau2[[#This Row],[Range stats]]&lt;=40,Tableau2[[#This Row],[Loyauté]]="Loyal")),1,0)</f>
        <v>1</v>
      </c>
      <c r="W32" s="14"/>
    </row>
    <row r="33" spans="1:23" x14ac:dyDescent="0.25">
      <c r="A33" s="1" t="s">
        <v>55</v>
      </c>
      <c r="B33" s="21" t="str">
        <f>Tableau2[[#This Row],[Phy min]] &amp; " - " &amp; Tableau2[[#This Row],[Phy max]]</f>
        <v>18 - 25</v>
      </c>
      <c r="C33" s="18">
        <v>18</v>
      </c>
      <c r="D33" s="18">
        <v>25</v>
      </c>
      <c r="E33" s="21" t="str">
        <f>Tableau2[[#This Row],[Men min]] &amp; " - " &amp; Tableau2[[#This Row],[Men max]]</f>
        <v>12 - 20</v>
      </c>
      <c r="F33" s="18">
        <v>12</v>
      </c>
      <c r="G33" s="18">
        <v>20</v>
      </c>
      <c r="H33" s="21" t="str">
        <f>Tableau2[[#This Row],[Cha min]] &amp; " - " &amp; Tableau2[[#This Row],[Cha max]]</f>
        <v>0 - 8</v>
      </c>
      <c r="I33" s="18">
        <v>0</v>
      </c>
      <c r="J33" s="18">
        <v>8</v>
      </c>
      <c r="K33" s="19">
        <f>Tableau2[[#This Row],[Phy min]]+Tableau2[[#This Row],[Men min]]+Tableau2[[#This Row],[Cha min]]</f>
        <v>30</v>
      </c>
      <c r="L33" s="19">
        <f>Tableau2[[#This Row],[Phy max]]+Tableau2[[#This Row],[Men max]]+Tableau2[[#This Row],[Cha max]]</f>
        <v>53</v>
      </c>
      <c r="M33" s="19">
        <f>MAX(Tableau2[[#This Row],[Max stats]]-Tableau2[[#This Row],[Min stats]],0)</f>
        <v>23</v>
      </c>
      <c r="N33" s="17">
        <f>ROUNDUP(AVERAGE(Tableau2[[#This Row],[Phy min]:[Phy max]])*WPHYSIC+AVERAGE(Tableau2[[#This Row],[Men min]:[Men max]])*WMENTAL+AVERAGE(Tableau2[[#This Row],[Cha min]:[Cha max]])*WCHARAC,0)</f>
        <v>8</v>
      </c>
      <c r="O33" s="2" t="s">
        <v>37</v>
      </c>
      <c r="P33" s="1" t="s">
        <v>5</v>
      </c>
      <c r="Q33" s="15" t="str">
        <f>IFERROR(VLOOKUP(Tableau2[[#This Row],[Alignement]],Alignement[],2,FALSE),"")</f>
        <v>Neutre</v>
      </c>
      <c r="R33" s="15" t="str">
        <f>IFERROR(VLOOKUP(Tableau2[[#This Row],[Alignement]],Alignement[],3,FALSE),"")</f>
        <v>Neutre</v>
      </c>
      <c r="S33" s="13">
        <f>IF(Tableau2[[#This Row],[Men min]]&lt;8,0,1)</f>
        <v>1</v>
      </c>
      <c r="T33" s="13">
        <f>IF(OR(AND(Tableau2[[#This Row],[Min stats]]&lt;=35,Tableau2[[#This Row],[Loyauté]]&lt;&gt;"Loyal"),AND(Tableau2[[#This Row],[Min stats]]&lt;=25,Tableau2[[#This Row],[Loyauté]]="Loyal")),1,0)</f>
        <v>1</v>
      </c>
      <c r="U33" s="13">
        <f>IF(Tableau2[[#This Row],[Max stats]]&gt;=43,1,0)</f>
        <v>1</v>
      </c>
      <c r="V33" s="13">
        <f>IF(OR(AND(Tableau2[[#This Row],[Range stats]]&gt;=15,Tableau2[[#This Row],[Range stats]]&lt;=27,Tableau2[[#This Row],[Loyauté]]&lt;&gt;"Loyal"),AND(Tableau2[[#This Row],[Range stats]]&gt;=27,Tableau2[[#This Row],[Range stats]]&lt;=40,Tableau2[[#This Row],[Loyauté]]="Loyal")),1,0)</f>
        <v>1</v>
      </c>
      <c r="W33" s="14"/>
    </row>
    <row r="34" spans="1:23" x14ac:dyDescent="0.25">
      <c r="A34" s="1" t="s">
        <v>84</v>
      </c>
      <c r="B34" s="21" t="str">
        <f>Tableau2[[#This Row],[Phy min]] &amp; " - " &amp; Tableau2[[#This Row],[Phy max]]</f>
        <v>8 - 18</v>
      </c>
      <c r="C34" s="18">
        <v>8</v>
      </c>
      <c r="D34" s="18">
        <v>18</v>
      </c>
      <c r="E34" s="21" t="str">
        <f>Tableau2[[#This Row],[Men min]] &amp; " - " &amp; Tableau2[[#This Row],[Men max]]</f>
        <v>8 - 18</v>
      </c>
      <c r="F34" s="18">
        <v>8</v>
      </c>
      <c r="G34" s="18">
        <v>18</v>
      </c>
      <c r="H34" s="21" t="str">
        <f>Tableau2[[#This Row],[Cha min]] &amp; " - " &amp; Tableau2[[#This Row],[Cha max]]</f>
        <v>5 - 12</v>
      </c>
      <c r="I34" s="18">
        <v>5</v>
      </c>
      <c r="J34" s="18">
        <v>12</v>
      </c>
      <c r="K34" s="19">
        <f>Tableau2[[#This Row],[Phy min]]+Tableau2[[#This Row],[Men min]]+Tableau2[[#This Row],[Cha min]]</f>
        <v>21</v>
      </c>
      <c r="L34" s="19">
        <f>Tableau2[[#This Row],[Phy max]]+Tableau2[[#This Row],[Men max]]+Tableau2[[#This Row],[Cha max]]</f>
        <v>48</v>
      </c>
      <c r="M34" s="19">
        <f>MAX(Tableau2[[#This Row],[Max stats]]-Tableau2[[#This Row],[Min stats]],0)</f>
        <v>27</v>
      </c>
      <c r="N34" s="17">
        <f>ROUNDUP(AVERAGE(Tableau2[[#This Row],[Phy min]:[Phy max]])*WPHYSIC+AVERAGE(Tableau2[[#This Row],[Men min]:[Men max]])*WMENTAL+AVERAGE(Tableau2[[#This Row],[Cha min]:[Cha max]])*WCHARAC,0)</f>
        <v>8</v>
      </c>
      <c r="O34" s="2" t="s">
        <v>41</v>
      </c>
      <c r="P34" s="1" t="s">
        <v>5</v>
      </c>
      <c r="Q34" s="15" t="str">
        <f>IFERROR(VLOOKUP(Tableau2[[#This Row],[Alignement]],Alignement[],2,FALSE),"")</f>
        <v>Neutre</v>
      </c>
      <c r="R34" s="15" t="str">
        <f>IFERROR(VLOOKUP(Tableau2[[#This Row],[Alignement]],Alignement[],3,FALSE),"")</f>
        <v>Neutre</v>
      </c>
      <c r="S34" s="13">
        <v>0</v>
      </c>
      <c r="T34" s="13">
        <f>IF(OR(AND(Tableau2[[#This Row],[Min stats]]&lt;=35,Tableau2[[#This Row],[Loyauté]]&lt;&gt;"Loyal"),AND(Tableau2[[#This Row],[Min stats]]&lt;=25,Tableau2[[#This Row],[Loyauté]]="Loyal")),1,0)</f>
        <v>1</v>
      </c>
      <c r="U34" s="13">
        <f>IF(Tableau2[[#This Row],[Max stats]]&gt;=43,1,0)</f>
        <v>1</v>
      </c>
      <c r="V34" s="13">
        <f>IF(OR(AND(Tableau2[[#This Row],[Range stats]]&gt;=15,Tableau2[[#This Row],[Range stats]]&lt;=27,Tableau2[[#This Row],[Loyauté]]&lt;&gt;"Loyal"),AND(Tableau2[[#This Row],[Range stats]]&gt;=27,Tableau2[[#This Row],[Range stats]]&lt;=40,Tableau2[[#This Row],[Loyauté]]="Loyal")),1,0)</f>
        <v>1</v>
      </c>
      <c r="W34" s="14" t="s">
        <v>76</v>
      </c>
    </row>
    <row r="35" spans="1:23" x14ac:dyDescent="0.25">
      <c r="A35" s="1" t="s">
        <v>60</v>
      </c>
      <c r="B35" s="21" t="str">
        <f>Tableau2[[#This Row],[Phy min]] &amp; " - " &amp; Tableau2[[#This Row],[Phy max]]</f>
        <v>0 - 13</v>
      </c>
      <c r="C35" s="18">
        <v>0</v>
      </c>
      <c r="D35" s="18">
        <v>13</v>
      </c>
      <c r="E35" s="21" t="str">
        <f>Tableau2[[#This Row],[Men min]] &amp; " - " &amp; Tableau2[[#This Row],[Men max]]</f>
        <v>8 - 15</v>
      </c>
      <c r="F35" s="18">
        <v>8</v>
      </c>
      <c r="G35" s="18">
        <v>15</v>
      </c>
      <c r="H35" s="21" t="str">
        <f>Tableau2[[#This Row],[Cha min]] &amp; " - " &amp; Tableau2[[#This Row],[Cha max]]</f>
        <v>15 - 20</v>
      </c>
      <c r="I35" s="18">
        <v>15</v>
      </c>
      <c r="J35" s="18">
        <v>20</v>
      </c>
      <c r="K35" s="19">
        <f>Tableau2[[#This Row],[Phy min]]+Tableau2[[#This Row],[Men min]]+Tableau2[[#This Row],[Cha min]]</f>
        <v>23</v>
      </c>
      <c r="L35" s="19">
        <f>Tableau2[[#This Row],[Phy max]]+Tableau2[[#This Row],[Men max]]+Tableau2[[#This Row],[Cha max]]</f>
        <v>48</v>
      </c>
      <c r="M35" s="19">
        <f>MAX(Tableau2[[#This Row],[Max stats]]-Tableau2[[#This Row],[Min stats]],0)</f>
        <v>25</v>
      </c>
      <c r="N35" s="17">
        <f>ROUNDUP(AVERAGE(Tableau2[[#This Row],[Phy min]:[Phy max]])*WPHYSIC+AVERAGE(Tableau2[[#This Row],[Men min]:[Men max]])*WMENTAL+AVERAGE(Tableau2[[#This Row],[Cha min]:[Cha max]])*WCHARAC,0)</f>
        <v>9</v>
      </c>
      <c r="O35" s="2" t="s">
        <v>43</v>
      </c>
      <c r="P35" s="1" t="s">
        <v>5</v>
      </c>
      <c r="Q35" s="15" t="str">
        <f>IFERROR(VLOOKUP(Tableau2[[#This Row],[Alignement]],Alignement[],2,FALSE),"")</f>
        <v>Neutre</v>
      </c>
      <c r="R35" s="15" t="str">
        <f>IFERROR(VLOOKUP(Tableau2[[#This Row],[Alignement]],Alignement[],3,FALSE),"")</f>
        <v>Neutre</v>
      </c>
      <c r="S35" s="13">
        <f>IF(Tableau2[[#This Row],[Men min]]&lt;8,0,1)</f>
        <v>1</v>
      </c>
      <c r="T35" s="13">
        <f>IF(OR(AND(Tableau2[[#This Row],[Min stats]]&lt;=35,Tableau2[[#This Row],[Loyauté]]&lt;&gt;"Loyal"),AND(Tableau2[[#This Row],[Min stats]]&lt;=25,Tableau2[[#This Row],[Loyauté]]="Loyal")),1,0)</f>
        <v>1</v>
      </c>
      <c r="U35" s="13">
        <f>IF(Tableau2[[#This Row],[Max stats]]&gt;=43,1,0)</f>
        <v>1</v>
      </c>
      <c r="V35" s="13">
        <f>IF(OR(AND(Tableau2[[#This Row],[Range stats]]&gt;=15,Tableau2[[#This Row],[Range stats]]&lt;=27,Tableau2[[#This Row],[Loyauté]]&lt;&gt;"Loyal"),AND(Tableau2[[#This Row],[Range stats]]&gt;=27,Tableau2[[#This Row],[Range stats]]&lt;=40,Tableau2[[#This Row],[Loyauté]]="Loyal")),1,0)</f>
        <v>1</v>
      </c>
      <c r="W35" s="14"/>
    </row>
    <row r="36" spans="1:23" x14ac:dyDescent="0.25">
      <c r="A36" s="1" t="s">
        <v>61</v>
      </c>
      <c r="B36" s="21" t="str">
        <f>Tableau2[[#This Row],[Phy min]] &amp; " - " &amp; Tableau2[[#This Row],[Phy max]]</f>
        <v>12 - 28</v>
      </c>
      <c r="C36" s="18">
        <v>12</v>
      </c>
      <c r="D36" s="18">
        <v>28</v>
      </c>
      <c r="E36" s="21" t="str">
        <f>Tableau2[[#This Row],[Men min]] &amp; " - " &amp; Tableau2[[#This Row],[Men max]]</f>
        <v>0 - 12</v>
      </c>
      <c r="F36" s="18">
        <v>0</v>
      </c>
      <c r="G36" s="18">
        <v>12</v>
      </c>
      <c r="H36" s="21" t="str">
        <f>Tableau2[[#This Row],[Cha min]] &amp; " - " &amp; Tableau2[[#This Row],[Cha max]]</f>
        <v>10 - 20</v>
      </c>
      <c r="I36" s="18">
        <v>10</v>
      </c>
      <c r="J36" s="18">
        <v>20</v>
      </c>
      <c r="K36" s="19">
        <f>Tableau2[[#This Row],[Phy min]]+Tableau2[[#This Row],[Men min]]+Tableau2[[#This Row],[Cha min]]</f>
        <v>22</v>
      </c>
      <c r="L36" s="19">
        <f>Tableau2[[#This Row],[Phy max]]+Tableau2[[#This Row],[Men max]]+Tableau2[[#This Row],[Cha max]]</f>
        <v>60</v>
      </c>
      <c r="M36" s="19">
        <f>MAX(Tableau2[[#This Row],[Max stats]]-Tableau2[[#This Row],[Min stats]],0)</f>
        <v>38</v>
      </c>
      <c r="N36" s="17">
        <f>ROUNDUP(AVERAGE(Tableau2[[#This Row],[Phy min]:[Phy max]])*WPHYSIC+AVERAGE(Tableau2[[#This Row],[Men min]:[Men max]])*WMENTAL+AVERAGE(Tableau2[[#This Row],[Cha min]:[Cha max]])*WCHARAC,0)</f>
        <v>9</v>
      </c>
      <c r="O36" s="2" t="s">
        <v>37</v>
      </c>
      <c r="P36" s="1" t="s">
        <v>11</v>
      </c>
      <c r="Q36" s="15" t="str">
        <f>IFERROR(VLOOKUP(Tableau2[[#This Row],[Alignement]],Alignement[],2,FALSE),"")</f>
        <v>Mauvais</v>
      </c>
      <c r="R36" s="15" t="str">
        <f>IFERROR(VLOOKUP(Tableau2[[#This Row],[Alignement]],Alignement[],3,FALSE),"")</f>
        <v>Loyal</v>
      </c>
      <c r="S36" s="13">
        <f>IF(Tableau2[[#This Row],[Men min]]&lt;8,0,1)</f>
        <v>0</v>
      </c>
      <c r="T36" s="13">
        <f>IF(OR(AND(Tableau2[[#This Row],[Min stats]]&lt;=35,Tableau2[[#This Row],[Loyauté]]&lt;&gt;"Loyal"),AND(Tableau2[[#This Row],[Min stats]]&lt;=25,Tableau2[[#This Row],[Loyauté]]="Loyal")),1,0)</f>
        <v>1</v>
      </c>
      <c r="U36" s="13">
        <f>IF(Tableau2[[#This Row],[Max stats]]&gt;=43,1,0)</f>
        <v>1</v>
      </c>
      <c r="V36" s="13">
        <f>IF(OR(AND(Tableau2[[#This Row],[Range stats]]&gt;=15,Tableau2[[#This Row],[Range stats]]&lt;=27,Tableau2[[#This Row],[Loyauté]]&lt;&gt;"Loyal"),AND(Tableau2[[#This Row],[Range stats]]&gt;=27,Tableau2[[#This Row],[Range stats]]&lt;=40,Tableau2[[#This Row],[Loyauté]]="Loyal")),1,0)</f>
        <v>1</v>
      </c>
      <c r="W36" s="14"/>
    </row>
    <row r="37" spans="1:23" x14ac:dyDescent="0.25">
      <c r="A37" t="s">
        <v>45</v>
      </c>
      <c r="B37" s="21" t="str">
        <f>Tableau2[[#This Row],[Phy min]] &amp; " - " &amp; Tableau2[[#This Row],[Phy max]]</f>
        <v>8 - 18</v>
      </c>
      <c r="C37" s="18">
        <v>8</v>
      </c>
      <c r="D37" s="18">
        <v>18</v>
      </c>
      <c r="E37" s="21" t="str">
        <f>Tableau2[[#This Row],[Men min]] &amp; " - " &amp; Tableau2[[#This Row],[Men max]]</f>
        <v>10 - 18</v>
      </c>
      <c r="F37" s="18">
        <v>10</v>
      </c>
      <c r="G37" s="18">
        <v>18</v>
      </c>
      <c r="H37" s="21" t="str">
        <f>Tableau2[[#This Row],[Cha min]] &amp; " - " &amp; Tableau2[[#This Row],[Cha max]]</f>
        <v>12 - 20</v>
      </c>
      <c r="I37" s="18">
        <v>12</v>
      </c>
      <c r="J37" s="18">
        <v>20</v>
      </c>
      <c r="K37" s="19">
        <f>Tableau2[[#This Row],[Phy min]]+Tableau2[[#This Row],[Men min]]+Tableau2[[#This Row],[Cha min]]</f>
        <v>30</v>
      </c>
      <c r="L37" s="19">
        <f>Tableau2[[#This Row],[Phy max]]+Tableau2[[#This Row],[Men max]]+Tableau2[[#This Row],[Cha max]]</f>
        <v>56</v>
      </c>
      <c r="M37" s="19">
        <f>MAX(Tableau2[[#This Row],[Max stats]]-Tableau2[[#This Row],[Min stats]],0)</f>
        <v>26</v>
      </c>
      <c r="N37" s="17">
        <f>ROUNDUP(AVERAGE(Tableau2[[#This Row],[Phy min]:[Phy max]])*WPHYSIC+AVERAGE(Tableau2[[#This Row],[Men min]:[Men max]])*WMENTAL+AVERAGE(Tableau2[[#This Row],[Cha min]:[Cha max]])*WCHARAC,0)</f>
        <v>10</v>
      </c>
      <c r="O37" s="2" t="s">
        <v>42</v>
      </c>
      <c r="P37" s="1" t="s">
        <v>4</v>
      </c>
      <c r="Q37" s="15" t="str">
        <f>IFERROR(VLOOKUP(Tableau2[[#This Row],[Alignement]],Alignement[],2,FALSE),"")</f>
        <v>Neutre</v>
      </c>
      <c r="R37" s="15" t="str">
        <f>IFERROR(VLOOKUP(Tableau2[[#This Row],[Alignement]],Alignement[],3,FALSE),"")</f>
        <v>Chaotique</v>
      </c>
      <c r="S37" s="13">
        <f>IF(Tableau2[[#This Row],[Men min]]&lt;8,0,1)</f>
        <v>1</v>
      </c>
      <c r="T37" s="13">
        <f>IF(OR(AND(Tableau2[[#This Row],[Min stats]]&lt;=35,Tableau2[[#This Row],[Loyauté]]&lt;&gt;"Loyal"),AND(Tableau2[[#This Row],[Min stats]]&lt;=25,Tableau2[[#This Row],[Loyauté]]="Loyal")),1,0)</f>
        <v>1</v>
      </c>
      <c r="U37" s="13">
        <f>IF(Tableau2[[#This Row],[Max stats]]&gt;=43,1,0)</f>
        <v>1</v>
      </c>
      <c r="V37" s="13">
        <f>IF(OR(AND(Tableau2[[#This Row],[Range stats]]&gt;=15,Tableau2[[#This Row],[Range stats]]&lt;=27,Tableau2[[#This Row],[Loyauté]]&lt;&gt;"Loyal"),AND(Tableau2[[#This Row],[Range stats]]&gt;=27,Tableau2[[#This Row],[Range stats]]&lt;=40,Tableau2[[#This Row],[Loyauté]]="Loyal")),1,0)</f>
        <v>1</v>
      </c>
      <c r="W37" s="14"/>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72"/>
  <sheetViews>
    <sheetView tabSelected="1" topLeftCell="A38" workbookViewId="0">
      <selection activeCell="I57" sqref="I57"/>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7.85546875" customWidth="1"/>
    <col min="9" max="9" width="15.42578125" bestFit="1" customWidth="1"/>
    <col min="10" max="10" width="29.85546875"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7">
        <v>1</v>
      </c>
      <c r="C2" t="s">
        <v>113</v>
      </c>
      <c r="D2" t="s">
        <v>114</v>
      </c>
      <c r="E2" s="17">
        <v>3</v>
      </c>
      <c r="F2" s="17" t="s">
        <v>115</v>
      </c>
      <c r="G2" s="13">
        <v>0</v>
      </c>
      <c r="H2" s="13" t="s">
        <v>149</v>
      </c>
      <c r="J2" s="25" t="s">
        <v>89</v>
      </c>
    </row>
    <row r="3" spans="1:10" x14ac:dyDescent="0.25">
      <c r="A3" t="s">
        <v>119</v>
      </c>
      <c r="B3" s="17">
        <v>1</v>
      </c>
      <c r="C3" t="s">
        <v>120</v>
      </c>
      <c r="D3" t="s">
        <v>114</v>
      </c>
      <c r="E3" s="17">
        <v>2</v>
      </c>
      <c r="F3" s="17" t="s">
        <v>115</v>
      </c>
      <c r="G3" s="13">
        <v>0</v>
      </c>
      <c r="H3" s="13" t="s">
        <v>152</v>
      </c>
      <c r="J3" s="25" t="s">
        <v>90</v>
      </c>
    </row>
    <row r="4" spans="1:10" x14ac:dyDescent="0.25">
      <c r="A4" t="s">
        <v>121</v>
      </c>
      <c r="B4" s="17">
        <v>1</v>
      </c>
      <c r="C4" t="s">
        <v>113</v>
      </c>
      <c r="D4" t="s">
        <v>114</v>
      </c>
      <c r="E4" s="17">
        <v>6</v>
      </c>
      <c r="F4" s="17" t="s">
        <v>115</v>
      </c>
      <c r="G4" s="13">
        <v>0</v>
      </c>
      <c r="H4" s="13" t="s">
        <v>149</v>
      </c>
      <c r="J4" s="25" t="s">
        <v>91</v>
      </c>
    </row>
    <row r="5" spans="1:10" x14ac:dyDescent="0.25">
      <c r="A5" t="s">
        <v>122</v>
      </c>
      <c r="B5" s="17">
        <v>1</v>
      </c>
      <c r="C5" t="s">
        <v>120</v>
      </c>
      <c r="D5" t="s">
        <v>114</v>
      </c>
      <c r="E5" s="17">
        <v>6</v>
      </c>
      <c r="F5" s="17" t="s">
        <v>115</v>
      </c>
      <c r="G5" s="13">
        <v>1</v>
      </c>
      <c r="H5" s="13" t="s">
        <v>149</v>
      </c>
      <c r="J5" s="25" t="s">
        <v>92</v>
      </c>
    </row>
    <row r="6" spans="1:10" x14ac:dyDescent="0.25">
      <c r="A6" t="s">
        <v>124</v>
      </c>
      <c r="B6" s="17">
        <v>1</v>
      </c>
      <c r="C6" t="s">
        <v>120</v>
      </c>
      <c r="D6" t="s">
        <v>114</v>
      </c>
      <c r="E6" s="17">
        <v>3</v>
      </c>
      <c r="F6" s="17" t="s">
        <v>125</v>
      </c>
      <c r="G6" s="13">
        <v>0</v>
      </c>
      <c r="H6" s="13" t="s">
        <v>151</v>
      </c>
      <c r="J6" s="25" t="s">
        <v>93</v>
      </c>
    </row>
    <row r="7" spans="1:10" x14ac:dyDescent="0.25">
      <c r="A7" t="s">
        <v>126</v>
      </c>
      <c r="B7" s="17">
        <v>1</v>
      </c>
      <c r="C7" t="s">
        <v>129</v>
      </c>
      <c r="D7" t="s">
        <v>131</v>
      </c>
      <c r="E7" s="17">
        <v>3</v>
      </c>
      <c r="F7" s="17" t="s">
        <v>130</v>
      </c>
      <c r="G7" s="13">
        <v>0</v>
      </c>
      <c r="H7" s="13" t="s">
        <v>153</v>
      </c>
      <c r="J7" s="25" t="s">
        <v>94</v>
      </c>
    </row>
    <row r="8" spans="1:10" x14ac:dyDescent="0.25">
      <c r="A8" t="s">
        <v>127</v>
      </c>
      <c r="B8" s="17">
        <v>1</v>
      </c>
      <c r="C8" t="s">
        <v>113</v>
      </c>
      <c r="D8" t="s">
        <v>131</v>
      </c>
      <c r="E8" s="17">
        <v>3</v>
      </c>
      <c r="F8" s="17" t="s">
        <v>115</v>
      </c>
      <c r="G8" s="13">
        <v>0</v>
      </c>
      <c r="H8" s="13" t="s">
        <v>149</v>
      </c>
      <c r="J8" s="25" t="s">
        <v>95</v>
      </c>
    </row>
    <row r="9" spans="1:10" x14ac:dyDescent="0.25">
      <c r="A9" s="24"/>
      <c r="B9" s="17">
        <v>1</v>
      </c>
      <c r="C9" t="s">
        <v>113</v>
      </c>
      <c r="D9" t="s">
        <v>131</v>
      </c>
      <c r="E9" s="17"/>
      <c r="F9" s="17"/>
      <c r="G9" s="13"/>
      <c r="H9" s="13"/>
      <c r="I9" t="s">
        <v>128</v>
      </c>
      <c r="J9" s="25"/>
    </row>
    <row r="10" spans="1:10" x14ac:dyDescent="0.25">
      <c r="A10" s="24"/>
      <c r="B10" s="17">
        <v>1</v>
      </c>
      <c r="C10" t="s">
        <v>129</v>
      </c>
      <c r="D10" t="s">
        <v>131</v>
      </c>
      <c r="E10" s="17"/>
      <c r="F10" s="17"/>
      <c r="G10" s="13"/>
      <c r="H10" s="13"/>
      <c r="I10" t="s">
        <v>128</v>
      </c>
      <c r="J10" s="25"/>
    </row>
    <row r="11" spans="1:10" x14ac:dyDescent="0.25">
      <c r="A11" s="24"/>
      <c r="B11" s="17">
        <v>1</v>
      </c>
      <c r="C11" t="s">
        <v>120</v>
      </c>
      <c r="D11" t="s">
        <v>131</v>
      </c>
      <c r="E11" s="17"/>
      <c r="F11" s="17"/>
      <c r="G11" s="13"/>
      <c r="H11" s="13"/>
      <c r="I11" t="s">
        <v>128</v>
      </c>
      <c r="J11" s="25"/>
    </row>
    <row r="12" spans="1:10" x14ac:dyDescent="0.25">
      <c r="A12" t="s">
        <v>139</v>
      </c>
      <c r="B12" s="17">
        <v>1</v>
      </c>
      <c r="C12" t="s">
        <v>113</v>
      </c>
      <c r="D12" t="s">
        <v>132</v>
      </c>
      <c r="E12" s="17">
        <v>3</v>
      </c>
      <c r="F12" s="17" t="s">
        <v>115</v>
      </c>
      <c r="G12" s="13">
        <v>0</v>
      </c>
      <c r="H12" s="13" t="s">
        <v>149</v>
      </c>
      <c r="J12" s="25" t="s">
        <v>96</v>
      </c>
    </row>
    <row r="13" spans="1:10" x14ac:dyDescent="0.25">
      <c r="A13" t="s">
        <v>140</v>
      </c>
      <c r="B13" s="17">
        <v>1</v>
      </c>
      <c r="C13" t="s">
        <v>120</v>
      </c>
      <c r="D13" t="s">
        <v>132</v>
      </c>
      <c r="E13" s="17">
        <v>2</v>
      </c>
      <c r="F13" s="17" t="s">
        <v>115</v>
      </c>
      <c r="G13" s="13">
        <v>0</v>
      </c>
      <c r="H13" s="13" t="s">
        <v>154</v>
      </c>
      <c r="J13" s="25" t="s">
        <v>97</v>
      </c>
    </row>
    <row r="14" spans="1:10" x14ac:dyDescent="0.25">
      <c r="A14" t="s">
        <v>141</v>
      </c>
      <c r="B14" s="17">
        <v>1</v>
      </c>
      <c r="C14" t="s">
        <v>113</v>
      </c>
      <c r="D14" t="s">
        <v>132</v>
      </c>
      <c r="E14" s="17">
        <v>3</v>
      </c>
      <c r="F14" s="17" t="s">
        <v>115</v>
      </c>
      <c r="G14" s="13">
        <v>0</v>
      </c>
      <c r="H14" s="13" t="s">
        <v>149</v>
      </c>
      <c r="J14" s="25" t="s">
        <v>98</v>
      </c>
    </row>
    <row r="15" spans="1:10" x14ac:dyDescent="0.25">
      <c r="A15" s="24"/>
      <c r="B15" s="17">
        <v>1</v>
      </c>
      <c r="C15" t="s">
        <v>129</v>
      </c>
      <c r="D15" t="s">
        <v>132</v>
      </c>
      <c r="E15" s="17"/>
      <c r="F15" s="17"/>
      <c r="G15" s="13"/>
      <c r="H15" s="13"/>
      <c r="I15" t="s">
        <v>128</v>
      </c>
      <c r="J15" s="25"/>
    </row>
    <row r="16" spans="1:10" x14ac:dyDescent="0.25">
      <c r="A16" s="24"/>
      <c r="B16" s="17">
        <v>1</v>
      </c>
      <c r="C16" t="s">
        <v>129</v>
      </c>
      <c r="D16" t="s">
        <v>132</v>
      </c>
      <c r="E16" s="17"/>
      <c r="F16" s="17"/>
      <c r="G16" s="13"/>
      <c r="H16" s="13"/>
      <c r="I16" t="s">
        <v>128</v>
      </c>
      <c r="J16" s="25"/>
    </row>
    <row r="17" spans="1:10" x14ac:dyDescent="0.25">
      <c r="A17" s="23"/>
      <c r="B17" s="17">
        <v>1</v>
      </c>
      <c r="C17" t="s">
        <v>113</v>
      </c>
      <c r="D17" t="s">
        <v>133</v>
      </c>
      <c r="E17" s="17">
        <v>2</v>
      </c>
      <c r="F17" s="17" t="s">
        <v>115</v>
      </c>
      <c r="G17" s="13">
        <v>0</v>
      </c>
      <c r="H17" s="13" t="s">
        <v>149</v>
      </c>
      <c r="I17" t="s">
        <v>142</v>
      </c>
      <c r="J17" s="25" t="s">
        <v>99</v>
      </c>
    </row>
    <row r="18" spans="1:10" x14ac:dyDescent="0.25">
      <c r="A18" s="23"/>
      <c r="B18" s="17">
        <v>1</v>
      </c>
      <c r="C18" t="s">
        <v>113</v>
      </c>
      <c r="D18" t="s">
        <v>133</v>
      </c>
      <c r="E18" s="17">
        <v>3</v>
      </c>
      <c r="F18" s="17" t="s">
        <v>115</v>
      </c>
      <c r="G18" s="13">
        <v>0</v>
      </c>
      <c r="H18" s="13" t="s">
        <v>155</v>
      </c>
      <c r="I18" t="s">
        <v>142</v>
      </c>
      <c r="J18" s="25" t="s">
        <v>163</v>
      </c>
    </row>
    <row r="19" spans="1:10" x14ac:dyDescent="0.25">
      <c r="A19" t="s">
        <v>143</v>
      </c>
      <c r="B19" s="17">
        <v>1</v>
      </c>
      <c r="C19" t="s">
        <v>120</v>
      </c>
      <c r="D19" t="s">
        <v>133</v>
      </c>
      <c r="E19" s="17">
        <v>3</v>
      </c>
      <c r="F19" s="17" t="s">
        <v>115</v>
      </c>
      <c r="G19" s="13">
        <v>1</v>
      </c>
      <c r="H19" s="13" t="s">
        <v>153</v>
      </c>
      <c r="J19" s="25" t="s">
        <v>100</v>
      </c>
    </row>
    <row r="20" spans="1:10" x14ac:dyDescent="0.25">
      <c r="A20" s="23"/>
      <c r="B20" s="17">
        <v>1</v>
      </c>
      <c r="C20" t="s">
        <v>129</v>
      </c>
      <c r="D20" t="s">
        <v>133</v>
      </c>
      <c r="E20" s="17">
        <v>3</v>
      </c>
      <c r="F20" s="17" t="s">
        <v>130</v>
      </c>
      <c r="G20" s="13">
        <v>0</v>
      </c>
      <c r="H20" s="13" t="s">
        <v>153</v>
      </c>
      <c r="I20" t="s">
        <v>142</v>
      </c>
      <c r="J20" s="25" t="s">
        <v>101</v>
      </c>
    </row>
    <row r="21" spans="1:10" x14ac:dyDescent="0.25">
      <c r="A21" s="24"/>
      <c r="B21" s="17">
        <v>1</v>
      </c>
      <c r="C21" t="s">
        <v>120</v>
      </c>
      <c r="D21" t="s">
        <v>133</v>
      </c>
      <c r="E21" s="17"/>
      <c r="F21" s="17"/>
      <c r="G21" s="13"/>
      <c r="H21" s="13"/>
      <c r="I21" t="s">
        <v>128</v>
      </c>
      <c r="J21" s="25"/>
    </row>
    <row r="22" spans="1:10" x14ac:dyDescent="0.25">
      <c r="A22" t="s">
        <v>144</v>
      </c>
      <c r="B22" s="17">
        <v>1</v>
      </c>
      <c r="C22" t="s">
        <v>120</v>
      </c>
      <c r="D22" t="s">
        <v>134</v>
      </c>
      <c r="E22" s="17">
        <v>2</v>
      </c>
      <c r="F22" s="17" t="s">
        <v>115</v>
      </c>
      <c r="G22" s="13">
        <v>0</v>
      </c>
      <c r="H22" s="13" t="s">
        <v>152</v>
      </c>
      <c r="J22" s="25" t="s">
        <v>102</v>
      </c>
    </row>
    <row r="23" spans="1:10" x14ac:dyDescent="0.25">
      <c r="A23" t="s">
        <v>145</v>
      </c>
      <c r="B23" s="17">
        <v>1</v>
      </c>
      <c r="C23" t="s">
        <v>120</v>
      </c>
      <c r="D23" t="s">
        <v>134</v>
      </c>
      <c r="E23" s="17">
        <v>5</v>
      </c>
      <c r="F23" s="17" t="s">
        <v>115</v>
      </c>
      <c r="G23" s="13">
        <v>0</v>
      </c>
      <c r="H23" s="13" t="s">
        <v>149</v>
      </c>
      <c r="J23" s="25" t="s">
        <v>103</v>
      </c>
    </row>
    <row r="24" spans="1:10" x14ac:dyDescent="0.25">
      <c r="A24" s="24"/>
      <c r="B24" s="17">
        <v>1</v>
      </c>
      <c r="C24" t="s">
        <v>113</v>
      </c>
      <c r="D24" t="s">
        <v>134</v>
      </c>
      <c r="E24" s="17"/>
      <c r="F24" s="17"/>
      <c r="G24" s="13"/>
      <c r="H24" s="13"/>
      <c r="I24" t="s">
        <v>128</v>
      </c>
      <c r="J24" s="25"/>
    </row>
    <row r="25" spans="1:10" x14ac:dyDescent="0.25">
      <c r="A25" s="24"/>
      <c r="B25" s="17">
        <v>1</v>
      </c>
      <c r="C25" t="s">
        <v>113</v>
      </c>
      <c r="D25" t="s">
        <v>134</v>
      </c>
      <c r="E25" s="17"/>
      <c r="F25" s="17"/>
      <c r="G25" s="13"/>
      <c r="H25" s="13"/>
      <c r="I25" t="s">
        <v>128</v>
      </c>
      <c r="J25" s="25"/>
    </row>
    <row r="26" spans="1:10" x14ac:dyDescent="0.25">
      <c r="A26" s="24"/>
      <c r="B26" s="17">
        <v>1</v>
      </c>
      <c r="C26" t="s">
        <v>129</v>
      </c>
      <c r="D26" t="s">
        <v>134</v>
      </c>
      <c r="E26" s="17"/>
      <c r="F26" s="17"/>
      <c r="G26" s="13"/>
      <c r="H26" s="13"/>
      <c r="I26" t="s">
        <v>128</v>
      </c>
      <c r="J26" s="25"/>
    </row>
    <row r="27" spans="1:10" x14ac:dyDescent="0.25">
      <c r="A27" t="s">
        <v>146</v>
      </c>
      <c r="B27" s="17">
        <v>1</v>
      </c>
      <c r="C27" t="s">
        <v>120</v>
      </c>
      <c r="D27" t="s">
        <v>135</v>
      </c>
      <c r="E27" s="17">
        <v>3</v>
      </c>
      <c r="F27" s="17" t="s">
        <v>115</v>
      </c>
      <c r="G27" s="13">
        <v>0</v>
      </c>
      <c r="H27" s="13" t="s">
        <v>152</v>
      </c>
      <c r="J27" s="25" t="s">
        <v>104</v>
      </c>
    </row>
    <row r="28" spans="1:10" x14ac:dyDescent="0.25">
      <c r="A28" t="s">
        <v>147</v>
      </c>
      <c r="B28" s="17">
        <v>1</v>
      </c>
      <c r="C28" t="s">
        <v>113</v>
      </c>
      <c r="D28" t="s">
        <v>135</v>
      </c>
      <c r="E28" s="17">
        <v>5</v>
      </c>
      <c r="F28" s="17" t="s">
        <v>115</v>
      </c>
      <c r="G28" s="13">
        <v>0</v>
      </c>
      <c r="H28" s="13" t="s">
        <v>154</v>
      </c>
      <c r="J28" s="25" t="s">
        <v>105</v>
      </c>
    </row>
    <row r="29" spans="1:10" x14ac:dyDescent="0.25">
      <c r="A29" t="s">
        <v>148</v>
      </c>
      <c r="B29" s="17">
        <v>1</v>
      </c>
      <c r="C29" t="s">
        <v>120</v>
      </c>
      <c r="D29" t="s">
        <v>135</v>
      </c>
      <c r="E29" s="17">
        <v>2</v>
      </c>
      <c r="F29" s="17" t="s">
        <v>115</v>
      </c>
      <c r="G29" s="13">
        <v>1</v>
      </c>
      <c r="H29" s="13" t="s">
        <v>151</v>
      </c>
      <c r="J29" s="25" t="s">
        <v>106</v>
      </c>
    </row>
    <row r="30" spans="1:10" x14ac:dyDescent="0.25">
      <c r="A30" s="24"/>
      <c r="B30" s="17">
        <v>1</v>
      </c>
      <c r="C30" t="s">
        <v>113</v>
      </c>
      <c r="D30" t="s">
        <v>135</v>
      </c>
      <c r="E30" s="17"/>
      <c r="F30" s="17"/>
      <c r="G30" s="13"/>
      <c r="H30" s="13"/>
      <c r="I30" t="s">
        <v>128</v>
      </c>
      <c r="J30" s="25"/>
    </row>
    <row r="31" spans="1:10" x14ac:dyDescent="0.25">
      <c r="A31" s="24"/>
      <c r="B31" s="17">
        <v>1</v>
      </c>
      <c r="C31" t="s">
        <v>113</v>
      </c>
      <c r="D31" t="s">
        <v>135</v>
      </c>
      <c r="E31" s="17"/>
      <c r="F31" s="17"/>
      <c r="G31" s="13"/>
      <c r="H31" s="13"/>
      <c r="I31" t="s">
        <v>128</v>
      </c>
      <c r="J31" s="25"/>
    </row>
    <row r="32" spans="1:10" x14ac:dyDescent="0.25">
      <c r="A32" t="s">
        <v>156</v>
      </c>
      <c r="B32" s="17">
        <v>1</v>
      </c>
      <c r="C32" t="s">
        <v>120</v>
      </c>
      <c r="D32" t="s">
        <v>137</v>
      </c>
      <c r="E32" s="17">
        <v>2</v>
      </c>
      <c r="F32" s="17" t="s">
        <v>157</v>
      </c>
      <c r="G32" s="13">
        <v>0</v>
      </c>
      <c r="H32" s="13" t="s">
        <v>151</v>
      </c>
      <c r="J32" s="25" t="s">
        <v>107</v>
      </c>
    </row>
    <row r="33" spans="1:10" x14ac:dyDescent="0.25">
      <c r="A33" s="23"/>
      <c r="B33" s="17">
        <v>1</v>
      </c>
      <c r="C33" t="s">
        <v>129</v>
      </c>
      <c r="D33" t="s">
        <v>137</v>
      </c>
      <c r="E33" s="17">
        <v>3</v>
      </c>
      <c r="F33" s="17" t="s">
        <v>115</v>
      </c>
      <c r="G33" s="13">
        <v>0</v>
      </c>
      <c r="H33" s="13" t="s">
        <v>158</v>
      </c>
      <c r="I33" t="s">
        <v>142</v>
      </c>
      <c r="J33" s="25" t="s">
        <v>108</v>
      </c>
    </row>
    <row r="34" spans="1:10" x14ac:dyDescent="0.25">
      <c r="A34" s="23"/>
      <c r="B34" s="17">
        <v>1</v>
      </c>
      <c r="C34" t="s">
        <v>113</v>
      </c>
      <c r="D34" t="s">
        <v>137</v>
      </c>
      <c r="E34" s="17">
        <v>3</v>
      </c>
      <c r="F34" s="17" t="s">
        <v>115</v>
      </c>
      <c r="G34" s="13">
        <v>0</v>
      </c>
      <c r="H34" s="13" t="s">
        <v>149</v>
      </c>
      <c r="I34" t="s">
        <v>142</v>
      </c>
      <c r="J34" s="25" t="s">
        <v>109</v>
      </c>
    </row>
    <row r="35" spans="1:10" x14ac:dyDescent="0.25">
      <c r="A35" t="s">
        <v>159</v>
      </c>
      <c r="B35" s="17">
        <v>1</v>
      </c>
      <c r="C35" t="s">
        <v>120</v>
      </c>
      <c r="D35" t="s">
        <v>136</v>
      </c>
      <c r="E35" s="17">
        <v>3</v>
      </c>
      <c r="F35" s="17" t="s">
        <v>115</v>
      </c>
      <c r="G35" s="13">
        <v>1</v>
      </c>
      <c r="H35" s="13" t="s">
        <v>158</v>
      </c>
      <c r="J35" s="25" t="s">
        <v>110</v>
      </c>
    </row>
    <row r="36" spans="1:10" x14ac:dyDescent="0.25">
      <c r="A36" t="s">
        <v>160</v>
      </c>
      <c r="B36" s="17">
        <v>1</v>
      </c>
      <c r="C36" t="s">
        <v>120</v>
      </c>
      <c r="D36" t="s">
        <v>136</v>
      </c>
      <c r="E36" s="17">
        <v>2</v>
      </c>
      <c r="F36" s="17" t="s">
        <v>115</v>
      </c>
      <c r="G36" s="13">
        <v>0</v>
      </c>
      <c r="H36" s="13" t="s">
        <v>151</v>
      </c>
      <c r="J36" s="25" t="s">
        <v>164</v>
      </c>
    </row>
    <row r="37" spans="1:10" x14ac:dyDescent="0.25">
      <c r="A37" t="s">
        <v>161</v>
      </c>
      <c r="B37" s="17">
        <v>1</v>
      </c>
      <c r="C37" t="s">
        <v>129</v>
      </c>
      <c r="D37" t="s">
        <v>136</v>
      </c>
      <c r="E37" s="17">
        <v>4</v>
      </c>
      <c r="F37" s="17" t="s">
        <v>115</v>
      </c>
      <c r="G37" s="13">
        <v>0</v>
      </c>
      <c r="H37" s="13" t="s">
        <v>154</v>
      </c>
      <c r="J37" s="25" t="s">
        <v>111</v>
      </c>
    </row>
    <row r="38" spans="1:10" x14ac:dyDescent="0.25">
      <c r="A38" s="23"/>
      <c r="B38" s="17">
        <v>1</v>
      </c>
      <c r="C38" t="s">
        <v>129</v>
      </c>
      <c r="D38" t="s">
        <v>138</v>
      </c>
      <c r="E38" s="17">
        <v>6</v>
      </c>
      <c r="F38" s="17" t="s">
        <v>115</v>
      </c>
      <c r="G38" s="13">
        <v>0</v>
      </c>
      <c r="H38" s="13" t="s">
        <v>155</v>
      </c>
      <c r="I38" t="s">
        <v>142</v>
      </c>
      <c r="J38" s="25" t="s">
        <v>112</v>
      </c>
    </row>
    <row r="39" spans="1:10" x14ac:dyDescent="0.25">
      <c r="A39" s="24"/>
      <c r="B39" s="17">
        <v>1</v>
      </c>
      <c r="C39" t="s">
        <v>113</v>
      </c>
      <c r="D39" t="s">
        <v>138</v>
      </c>
      <c r="E39" s="17"/>
      <c r="F39" s="17"/>
      <c r="G39" s="13"/>
      <c r="H39" s="13"/>
      <c r="I39" t="s">
        <v>128</v>
      </c>
      <c r="J39" s="25"/>
    </row>
    <row r="40" spans="1:10" x14ac:dyDescent="0.25">
      <c r="A40" s="26" t="s">
        <v>166</v>
      </c>
      <c r="B40" s="17">
        <v>2</v>
      </c>
      <c r="C40" t="s">
        <v>113</v>
      </c>
      <c r="D40" t="s">
        <v>114</v>
      </c>
      <c r="E40" s="17">
        <v>8</v>
      </c>
      <c r="F40" s="17" t="s">
        <v>115</v>
      </c>
      <c r="G40" s="13">
        <v>0</v>
      </c>
      <c r="H40" s="13"/>
      <c r="J40" s="25" t="s">
        <v>165</v>
      </c>
    </row>
    <row r="41" spans="1:10" x14ac:dyDescent="0.25">
      <c r="A41" s="24"/>
      <c r="B41" s="17">
        <v>2</v>
      </c>
      <c r="C41" t="s">
        <v>113</v>
      </c>
      <c r="D41" t="s">
        <v>114</v>
      </c>
      <c r="E41" s="17">
        <v>3</v>
      </c>
      <c r="F41" s="17" t="s">
        <v>115</v>
      </c>
      <c r="G41" s="13">
        <v>0</v>
      </c>
      <c r="H41" s="13"/>
      <c r="I41" t="s">
        <v>128</v>
      </c>
      <c r="J41" s="25"/>
    </row>
    <row r="42" spans="1:10" x14ac:dyDescent="0.25">
      <c r="A42" s="24"/>
      <c r="B42" s="17">
        <v>2</v>
      </c>
      <c r="C42" t="s">
        <v>120</v>
      </c>
      <c r="D42" t="s">
        <v>114</v>
      </c>
      <c r="E42" s="17">
        <v>3</v>
      </c>
      <c r="F42" s="17" t="s">
        <v>115</v>
      </c>
      <c r="G42" s="13">
        <v>0</v>
      </c>
      <c r="H42" s="13"/>
      <c r="I42" t="s">
        <v>128</v>
      </c>
      <c r="J42" s="25"/>
    </row>
    <row r="43" spans="1:10" x14ac:dyDescent="0.25">
      <c r="A43" s="24"/>
      <c r="B43" s="17">
        <v>2</v>
      </c>
      <c r="C43" t="s">
        <v>129</v>
      </c>
      <c r="D43" t="s">
        <v>114</v>
      </c>
      <c r="E43" s="17">
        <v>3</v>
      </c>
      <c r="F43" s="17" t="s">
        <v>115</v>
      </c>
      <c r="G43" s="13">
        <v>0</v>
      </c>
      <c r="H43" s="13"/>
      <c r="I43" t="s">
        <v>128</v>
      </c>
      <c r="J43" s="25"/>
    </row>
    <row r="44" spans="1:10" x14ac:dyDescent="0.25">
      <c r="A44" s="24"/>
      <c r="B44" s="17">
        <v>2</v>
      </c>
      <c r="C44" t="s">
        <v>129</v>
      </c>
      <c r="D44" t="s">
        <v>131</v>
      </c>
      <c r="E44" s="17">
        <v>3</v>
      </c>
      <c r="F44" s="17" t="s">
        <v>115</v>
      </c>
      <c r="G44" s="13">
        <v>0</v>
      </c>
      <c r="H44" s="13"/>
      <c r="I44" t="s">
        <v>128</v>
      </c>
      <c r="J44" s="25"/>
    </row>
    <row r="45" spans="1:10" x14ac:dyDescent="0.25">
      <c r="A45" s="24"/>
      <c r="B45" s="17">
        <v>2</v>
      </c>
      <c r="C45" t="s">
        <v>113</v>
      </c>
      <c r="D45" t="s">
        <v>131</v>
      </c>
      <c r="E45" s="17">
        <v>3</v>
      </c>
      <c r="F45" s="17" t="s">
        <v>115</v>
      </c>
      <c r="G45" s="13">
        <v>0</v>
      </c>
      <c r="H45" s="13"/>
      <c r="I45" t="s">
        <v>128</v>
      </c>
      <c r="J45" s="25"/>
    </row>
    <row r="46" spans="1:10" x14ac:dyDescent="0.25">
      <c r="A46" s="24"/>
      <c r="B46" s="17">
        <v>2</v>
      </c>
      <c r="C46" t="s">
        <v>113</v>
      </c>
      <c r="D46" t="s">
        <v>131</v>
      </c>
      <c r="E46" s="17">
        <v>3</v>
      </c>
      <c r="F46" s="17" t="s">
        <v>115</v>
      </c>
      <c r="G46" s="13">
        <v>0</v>
      </c>
      <c r="H46" s="13"/>
      <c r="I46" t="s">
        <v>128</v>
      </c>
      <c r="J46" s="25"/>
    </row>
    <row r="47" spans="1:10" x14ac:dyDescent="0.25">
      <c r="A47" s="24"/>
      <c r="B47" s="17">
        <v>2</v>
      </c>
      <c r="C47" t="s">
        <v>129</v>
      </c>
      <c r="D47" t="s">
        <v>131</v>
      </c>
      <c r="E47" s="17">
        <v>3</v>
      </c>
      <c r="F47" s="17" t="s">
        <v>115</v>
      </c>
      <c r="G47" s="13">
        <v>0</v>
      </c>
      <c r="H47" s="13"/>
      <c r="I47" t="s">
        <v>128</v>
      </c>
      <c r="J47" s="25"/>
    </row>
    <row r="48" spans="1:10" x14ac:dyDescent="0.25">
      <c r="A48" s="24"/>
      <c r="B48" s="17">
        <v>2</v>
      </c>
      <c r="C48" t="s">
        <v>113</v>
      </c>
      <c r="D48" t="s">
        <v>132</v>
      </c>
      <c r="E48" s="17">
        <v>3</v>
      </c>
      <c r="F48" s="17" t="s">
        <v>115</v>
      </c>
      <c r="G48" s="13">
        <v>0</v>
      </c>
      <c r="H48" s="13"/>
      <c r="I48" t="s">
        <v>128</v>
      </c>
      <c r="J48" s="25"/>
    </row>
    <row r="49" spans="1:10" x14ac:dyDescent="0.25">
      <c r="A49" s="24"/>
      <c r="B49" s="17">
        <v>2</v>
      </c>
      <c r="C49" t="s">
        <v>120</v>
      </c>
      <c r="D49" t="s">
        <v>132</v>
      </c>
      <c r="E49" s="17">
        <v>3</v>
      </c>
      <c r="F49" s="17" t="s">
        <v>115</v>
      </c>
      <c r="G49" s="13">
        <v>0</v>
      </c>
      <c r="H49" s="13"/>
      <c r="I49" t="s">
        <v>128</v>
      </c>
      <c r="J49" s="25"/>
    </row>
    <row r="50" spans="1:10" x14ac:dyDescent="0.25">
      <c r="A50" s="24"/>
      <c r="B50" s="17">
        <v>2</v>
      </c>
      <c r="C50" t="s">
        <v>113</v>
      </c>
      <c r="D50" t="s">
        <v>132</v>
      </c>
      <c r="E50" s="17">
        <v>3</v>
      </c>
      <c r="F50" s="17" t="s">
        <v>115</v>
      </c>
      <c r="G50" s="13">
        <v>0</v>
      </c>
      <c r="H50" s="13"/>
      <c r="I50" t="s">
        <v>128</v>
      </c>
      <c r="J50" s="25"/>
    </row>
    <row r="51" spans="1:10" x14ac:dyDescent="0.25">
      <c r="A51" s="24"/>
      <c r="B51" s="17">
        <v>2</v>
      </c>
      <c r="C51" t="s">
        <v>129</v>
      </c>
      <c r="D51" t="s">
        <v>132</v>
      </c>
      <c r="E51" s="17">
        <v>3</v>
      </c>
      <c r="F51" s="17" t="s">
        <v>115</v>
      </c>
      <c r="G51" s="13">
        <v>0</v>
      </c>
      <c r="H51" s="13"/>
      <c r="I51" t="s">
        <v>128</v>
      </c>
      <c r="J51" s="25"/>
    </row>
    <row r="52" spans="1:10" x14ac:dyDescent="0.25">
      <c r="A52" s="24"/>
      <c r="B52" s="17">
        <v>2</v>
      </c>
      <c r="C52" t="s">
        <v>113</v>
      </c>
      <c r="D52" t="s">
        <v>133</v>
      </c>
      <c r="E52" s="17">
        <v>3</v>
      </c>
      <c r="F52" s="17" t="s">
        <v>115</v>
      </c>
      <c r="G52" s="13">
        <v>0</v>
      </c>
      <c r="H52" s="13"/>
      <c r="I52" t="s">
        <v>128</v>
      </c>
      <c r="J52" s="25"/>
    </row>
    <row r="53" spans="1:10" x14ac:dyDescent="0.25">
      <c r="A53" s="24"/>
      <c r="B53" s="17">
        <v>2</v>
      </c>
      <c r="C53" t="s">
        <v>113</v>
      </c>
      <c r="D53" t="s">
        <v>133</v>
      </c>
      <c r="E53" s="17">
        <v>3</v>
      </c>
      <c r="F53" s="17" t="s">
        <v>115</v>
      </c>
      <c r="G53" s="13">
        <v>0</v>
      </c>
      <c r="H53" s="13"/>
      <c r="I53" t="s">
        <v>128</v>
      </c>
      <c r="J53" s="25"/>
    </row>
    <row r="54" spans="1:10" x14ac:dyDescent="0.25">
      <c r="A54" s="24"/>
      <c r="B54" s="17">
        <v>2</v>
      </c>
      <c r="C54" t="s">
        <v>120</v>
      </c>
      <c r="D54" t="s">
        <v>133</v>
      </c>
      <c r="E54" s="17">
        <v>3</v>
      </c>
      <c r="F54" s="17" t="s">
        <v>115</v>
      </c>
      <c r="G54" s="13">
        <v>0</v>
      </c>
      <c r="H54" s="13"/>
      <c r="I54" t="s">
        <v>128</v>
      </c>
      <c r="J54" s="25"/>
    </row>
    <row r="55" spans="1:10" x14ac:dyDescent="0.25">
      <c r="A55" s="24"/>
      <c r="B55" s="17">
        <v>2</v>
      </c>
      <c r="C55" t="s">
        <v>129</v>
      </c>
      <c r="D55" t="s">
        <v>133</v>
      </c>
      <c r="E55" s="17">
        <v>3</v>
      </c>
      <c r="F55" s="17" t="s">
        <v>115</v>
      </c>
      <c r="G55" s="13">
        <v>0</v>
      </c>
      <c r="H55" s="13"/>
      <c r="I55" t="s">
        <v>128</v>
      </c>
      <c r="J55" s="25"/>
    </row>
    <row r="56" spans="1:10" x14ac:dyDescent="0.25">
      <c r="A56" s="24"/>
      <c r="B56" s="17">
        <v>2</v>
      </c>
      <c r="C56" t="s">
        <v>120</v>
      </c>
      <c r="D56" t="s">
        <v>134</v>
      </c>
      <c r="E56" s="17">
        <v>3</v>
      </c>
      <c r="F56" s="17" t="s">
        <v>115</v>
      </c>
      <c r="G56" s="13">
        <v>0</v>
      </c>
      <c r="H56" s="13"/>
      <c r="I56" t="s">
        <v>128</v>
      </c>
      <c r="J56" s="25"/>
    </row>
    <row r="57" spans="1:10" x14ac:dyDescent="0.25">
      <c r="A57" s="24"/>
      <c r="B57" s="17">
        <v>2</v>
      </c>
      <c r="C57" t="s">
        <v>120</v>
      </c>
      <c r="D57" t="s">
        <v>134</v>
      </c>
      <c r="E57" s="17">
        <v>3</v>
      </c>
      <c r="F57" s="17" t="s">
        <v>115</v>
      </c>
      <c r="G57" s="13">
        <v>0</v>
      </c>
      <c r="H57" s="13"/>
      <c r="I57" t="s">
        <v>128</v>
      </c>
      <c r="J57" s="25"/>
    </row>
    <row r="58" spans="1:10" x14ac:dyDescent="0.25">
      <c r="A58" s="24"/>
      <c r="B58" s="17">
        <v>2</v>
      </c>
      <c r="C58" t="s">
        <v>113</v>
      </c>
      <c r="D58" t="s">
        <v>134</v>
      </c>
      <c r="E58" s="17">
        <v>3</v>
      </c>
      <c r="F58" s="17" t="s">
        <v>115</v>
      </c>
      <c r="G58" s="13">
        <v>0</v>
      </c>
      <c r="H58" s="13"/>
      <c r="I58" t="s">
        <v>128</v>
      </c>
      <c r="J58" s="25"/>
    </row>
    <row r="59" spans="1:10" x14ac:dyDescent="0.25">
      <c r="A59" s="24"/>
      <c r="B59" s="17">
        <v>2</v>
      </c>
      <c r="C59" t="s">
        <v>113</v>
      </c>
      <c r="D59" t="s">
        <v>134</v>
      </c>
      <c r="E59" s="17">
        <v>3</v>
      </c>
      <c r="F59" s="17" t="s">
        <v>115</v>
      </c>
      <c r="G59" s="13">
        <v>0</v>
      </c>
      <c r="H59" s="13"/>
      <c r="I59" t="s">
        <v>128</v>
      </c>
      <c r="J59" s="25"/>
    </row>
    <row r="60" spans="1:10" x14ac:dyDescent="0.25">
      <c r="A60" s="24"/>
      <c r="B60" s="17">
        <v>2</v>
      </c>
      <c r="C60" t="s">
        <v>120</v>
      </c>
      <c r="D60" t="s">
        <v>135</v>
      </c>
      <c r="E60" s="17">
        <v>3</v>
      </c>
      <c r="F60" s="17" t="s">
        <v>115</v>
      </c>
      <c r="G60" s="13">
        <v>0</v>
      </c>
      <c r="H60" s="13"/>
      <c r="I60" t="s">
        <v>128</v>
      </c>
      <c r="J60" s="25"/>
    </row>
    <row r="61" spans="1:10" x14ac:dyDescent="0.25">
      <c r="A61" s="24"/>
      <c r="B61" s="17">
        <v>2</v>
      </c>
      <c r="C61" t="s">
        <v>113</v>
      </c>
      <c r="D61" t="s">
        <v>135</v>
      </c>
      <c r="E61" s="17">
        <v>3</v>
      </c>
      <c r="F61" s="17" t="s">
        <v>115</v>
      </c>
      <c r="G61" s="13">
        <v>0</v>
      </c>
      <c r="H61" s="13"/>
      <c r="I61" t="s">
        <v>128</v>
      </c>
      <c r="J61" s="25"/>
    </row>
    <row r="62" spans="1:10" x14ac:dyDescent="0.25">
      <c r="A62" s="24"/>
      <c r="B62" s="17">
        <v>2</v>
      </c>
      <c r="C62" t="s">
        <v>120</v>
      </c>
      <c r="D62" t="s">
        <v>135</v>
      </c>
      <c r="E62" s="17">
        <v>3</v>
      </c>
      <c r="F62" s="17" t="s">
        <v>115</v>
      </c>
      <c r="G62" s="13">
        <v>0</v>
      </c>
      <c r="H62" s="13"/>
      <c r="I62" t="s">
        <v>128</v>
      </c>
      <c r="J62" s="25"/>
    </row>
    <row r="63" spans="1:10" x14ac:dyDescent="0.25">
      <c r="A63" s="24"/>
      <c r="B63" s="17">
        <v>2</v>
      </c>
      <c r="C63" t="s">
        <v>113</v>
      </c>
      <c r="D63" t="s">
        <v>135</v>
      </c>
      <c r="E63" s="17">
        <v>3</v>
      </c>
      <c r="F63" s="17" t="s">
        <v>115</v>
      </c>
      <c r="G63" s="13">
        <v>0</v>
      </c>
      <c r="H63" s="13"/>
      <c r="I63" t="s">
        <v>128</v>
      </c>
      <c r="J63" s="25"/>
    </row>
    <row r="64" spans="1:10" x14ac:dyDescent="0.25">
      <c r="A64" s="24"/>
      <c r="B64" s="17">
        <v>2</v>
      </c>
      <c r="C64" t="s">
        <v>120</v>
      </c>
      <c r="D64" t="s">
        <v>137</v>
      </c>
      <c r="E64" s="17">
        <v>3</v>
      </c>
      <c r="F64" s="17" t="s">
        <v>115</v>
      </c>
      <c r="G64" s="13">
        <v>0</v>
      </c>
      <c r="H64" s="13"/>
      <c r="I64" t="s">
        <v>128</v>
      </c>
      <c r="J64" s="25"/>
    </row>
    <row r="65" spans="1:10" x14ac:dyDescent="0.25">
      <c r="A65" s="24"/>
      <c r="B65" s="17">
        <v>2</v>
      </c>
      <c r="C65" t="s">
        <v>129</v>
      </c>
      <c r="D65" t="s">
        <v>137</v>
      </c>
      <c r="E65" s="17">
        <v>3</v>
      </c>
      <c r="F65" s="17" t="s">
        <v>115</v>
      </c>
      <c r="G65" s="13">
        <v>0</v>
      </c>
      <c r="H65" s="13"/>
      <c r="I65" t="s">
        <v>128</v>
      </c>
      <c r="J65" s="25"/>
    </row>
    <row r="66" spans="1:10" x14ac:dyDescent="0.25">
      <c r="A66" s="24"/>
      <c r="B66" s="17">
        <v>2</v>
      </c>
      <c r="C66" t="s">
        <v>113</v>
      </c>
      <c r="D66" t="s">
        <v>137</v>
      </c>
      <c r="E66" s="17">
        <v>3</v>
      </c>
      <c r="F66" s="17" t="s">
        <v>115</v>
      </c>
      <c r="G66" s="13">
        <v>0</v>
      </c>
      <c r="H66" s="13"/>
      <c r="I66" t="s">
        <v>128</v>
      </c>
      <c r="J66" s="25"/>
    </row>
    <row r="67" spans="1:10" x14ac:dyDescent="0.25">
      <c r="A67" s="24"/>
      <c r="B67" s="17">
        <v>2</v>
      </c>
      <c r="C67" t="s">
        <v>120</v>
      </c>
      <c r="D67" t="s">
        <v>136</v>
      </c>
      <c r="E67" s="17">
        <v>3</v>
      </c>
      <c r="F67" s="17" t="s">
        <v>115</v>
      </c>
      <c r="G67" s="13">
        <v>0</v>
      </c>
      <c r="H67" s="13"/>
      <c r="I67" t="s">
        <v>128</v>
      </c>
      <c r="J67" s="25"/>
    </row>
    <row r="68" spans="1:10" x14ac:dyDescent="0.25">
      <c r="A68" s="24"/>
      <c r="B68" s="17">
        <v>2</v>
      </c>
      <c r="C68" t="s">
        <v>120</v>
      </c>
      <c r="D68" t="s">
        <v>136</v>
      </c>
      <c r="E68" s="17">
        <v>3</v>
      </c>
      <c r="F68" s="17" t="s">
        <v>115</v>
      </c>
      <c r="G68" s="13">
        <v>0</v>
      </c>
      <c r="H68" s="13"/>
      <c r="I68" t="s">
        <v>128</v>
      </c>
      <c r="J68" s="25"/>
    </row>
    <row r="69" spans="1:10" x14ac:dyDescent="0.25">
      <c r="A69" s="24"/>
      <c r="B69" s="17">
        <v>2</v>
      </c>
      <c r="C69" t="s">
        <v>129</v>
      </c>
      <c r="D69" t="s">
        <v>136</v>
      </c>
      <c r="E69" s="17">
        <v>3</v>
      </c>
      <c r="F69" s="17" t="s">
        <v>115</v>
      </c>
      <c r="G69" s="13">
        <v>0</v>
      </c>
      <c r="H69" s="13"/>
      <c r="I69" t="s">
        <v>128</v>
      </c>
      <c r="J69" s="25"/>
    </row>
    <row r="70" spans="1:10" x14ac:dyDescent="0.25">
      <c r="A70" s="24"/>
      <c r="B70" s="17">
        <v>2</v>
      </c>
      <c r="C70" t="s">
        <v>129</v>
      </c>
      <c r="D70" t="s">
        <v>138</v>
      </c>
      <c r="E70" s="17">
        <v>3</v>
      </c>
      <c r="F70" s="17" t="s">
        <v>115</v>
      </c>
      <c r="G70" s="13">
        <v>0</v>
      </c>
      <c r="H70" s="13"/>
      <c r="I70" t="s">
        <v>128</v>
      </c>
      <c r="J70" s="25"/>
    </row>
    <row r="71" spans="1:10" x14ac:dyDescent="0.25">
      <c r="A71" s="24"/>
      <c r="B71" s="17">
        <v>2</v>
      </c>
      <c r="C71" t="s">
        <v>113</v>
      </c>
      <c r="D71" t="s">
        <v>138</v>
      </c>
      <c r="E71" s="17">
        <v>3</v>
      </c>
      <c r="F71" s="17" t="s">
        <v>115</v>
      </c>
      <c r="G71" s="13">
        <v>0</v>
      </c>
      <c r="H71" s="13"/>
      <c r="I71" t="s">
        <v>128</v>
      </c>
      <c r="J71" s="25"/>
    </row>
    <row r="72" spans="1:10" x14ac:dyDescent="0.25">
      <c r="A72" s="24"/>
      <c r="B72" s="17">
        <v>2</v>
      </c>
      <c r="C72" t="s">
        <v>120</v>
      </c>
      <c r="D72" t="s">
        <v>138</v>
      </c>
      <c r="E72" s="17">
        <v>3</v>
      </c>
      <c r="F72" s="17" t="s">
        <v>115</v>
      </c>
      <c r="G72" s="13">
        <v>0</v>
      </c>
      <c r="H72" s="13"/>
      <c r="I72" t="s">
        <v>128</v>
      </c>
      <c r="J72" s="25"/>
    </row>
  </sheetData>
  <conditionalFormatting sqref="D2:D72">
    <cfRule type="cellIs" dxfId="8" priority="1" operator="equal">
      <formula>"Psy"</formula>
    </cfRule>
    <cfRule type="cellIs" dxfId="7" priority="2" operator="equal">
      <formula>"Nature"</formula>
    </cfRule>
    <cfRule type="cellIs" dxfId="6" priority="3" operator="equal">
      <formula>"Lumière"</formula>
    </cfRule>
    <cfRule type="cellIs" dxfId="5" priority="4" operator="equal">
      <formula>"Air"</formula>
    </cfRule>
    <cfRule type="cellIs" dxfId="4" priority="5" operator="equal">
      <formula>"Arcane"</formula>
    </cfRule>
    <cfRule type="cellIs" dxfId="3" priority="6" operator="equal">
      <formula>"Terre"</formula>
    </cfRule>
    <cfRule type="cellIs" dxfId="2" priority="7" operator="equal">
      <formula>"Foudre"</formula>
    </cfRule>
    <cfRule type="cellIs" dxfId="1" priority="8" operator="equal">
      <formula>"Glace"</formula>
    </cfRule>
    <cfRule type="cellIs" dxfId="0" priority="9" operator="equal">
      <formula>"Feu"</formula>
    </cfRule>
  </conditionalFormatting>
  <conditionalFormatting sqref="J2:J72 G2:H72">
    <cfRule type="iconSet" priority="125">
      <iconSet showValue="0">
        <cfvo type="percent" val="0"/>
        <cfvo type="num" val="1"/>
        <cfvo type="num" val="1"/>
      </iconSet>
    </cfRule>
  </conditionalFormatting>
  <dataValidations count="7">
    <dataValidation type="list" allowBlank="1" showInputMessage="1" showErrorMessage="1" sqref="B2:B72" xr:uid="{4E8EEFDD-9A07-4C02-B158-2419EFCF1C07}">
      <formula1>"1,2,3"</formula1>
    </dataValidation>
    <dataValidation type="list" allowBlank="1" showInputMessage="1" showErrorMessage="1" sqref="C2:C72" xr:uid="{944F5A31-BB05-4287-A785-62BE9C98A95C}">
      <formula1>"Savoir,Precision,Instinct"</formula1>
    </dataValidation>
    <dataValidation type="list" allowBlank="1" showInputMessage="1" showErrorMessage="1" sqref="D2:D72" xr:uid="{674B968A-C0D9-4833-A197-50E2FD2957BD}">
      <formula1>"Feu,Glace,Foudre,Terre,Arcane,Air,Lumière,Nature,Psy"</formula1>
    </dataValidation>
    <dataValidation type="list" allowBlank="1" showInputMessage="1" showErrorMessage="1" sqref="F2:F72" xr:uid="{2083E503-2689-41C9-A93E-8CE4062F1A40}">
      <formula1>"action,reaction,1 minute,10 minutes,1 heure"</formula1>
    </dataValidation>
    <dataValidation type="whole" allowBlank="1" showInputMessage="1" showErrorMessage="1" sqref="E2:E72" xr:uid="{277A64F4-06A3-4F8B-8D7E-7B26AC49BCF7}">
      <formula1>1</formula1>
      <formula2>12</formula2>
    </dataValidation>
    <dataValidation type="list" allowBlank="1" showInputMessage="1" showErrorMessage="1" sqref="G2:G72" xr:uid="{89D20B98-0352-48BB-84AB-46A7B75F233D}">
      <formula1>"0,1"</formula1>
    </dataValidation>
    <dataValidation type="list" allowBlank="1" showInputMessage="1" showErrorMessage="1" sqref="H2:I72"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2025-04-24T11:16:17Z</dcterms:modified>
</cp:coreProperties>
</file>